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329E09EE-3BD6-48AD-A5D9-CE60C334EFFC}" xr6:coauthVersionLast="47" xr6:coauthVersionMax="47" xr10:uidLastSave="{00000000-0000-0000-0000-000000000000}"/>
  <bookViews>
    <workbookView xWindow="-120" yWindow="-120" windowWidth="29040" windowHeight="15720" tabRatio="752" activeTab="4" xr2:uid="{00000000-000D-0000-FFFF-FFFF00000000}"/>
  </bookViews>
  <sheets>
    <sheet name="DN1" sheetId="40" r:id="rId1"/>
    <sheet name="DN4" sheetId="46" r:id="rId2"/>
    <sheet name="DN" sheetId="28" r:id="rId3"/>
    <sheet name="Neatbilstibas" sheetId="6" r:id="rId4"/>
    <sheet name="Paligformulas" sheetId="32" r:id="rId5"/>
  </sheets>
  <definedNames>
    <definedName name="asdddsd">#REF!</definedName>
    <definedName name="Hchladice">#REF!</definedName>
    <definedName name="MaxVlhkost">#REF!</definedName>
    <definedName name="Tchladice">#REF!</definedName>
    <definedName name="Tlak_vzduchu">#REF!</definedName>
    <definedName name="xchladice">#REF!</definedName>
    <definedName name="_xlnm.Print_Area" localSheetId="2">DN!$A$1:$K$35</definedName>
    <definedName name="_xlnm.Print_Area" localSheetId="0">'DN1'!$A$1:$L$16</definedName>
    <definedName name="_xlnm.Print_Area" localSheetId="1">'DN4'!$A$1:$M$12</definedName>
    <definedName name="_xlnm.Print_Area" localSheetId="3">Neatbilstibas!$B$2:$L$17</definedName>
  </definedNames>
  <calcPr calcId="191028"/>
</workbook>
</file>

<file path=xl/calcChain.xml><?xml version="1.0" encoding="utf-8"?>
<calcChain xmlns="http://schemas.openxmlformats.org/spreadsheetml/2006/main">
  <c r="E8" i="40" l="1"/>
  <c r="H8" i="40"/>
  <c r="I8" i="40"/>
  <c r="J9" i="46"/>
  <c r="I9" i="46"/>
  <c r="F9" i="46"/>
  <c r="F10" i="46"/>
  <c r="I10" i="46" s="1"/>
  <c r="J10" i="46" s="1"/>
  <c r="F8" i="46"/>
  <c r="I8" i="46" s="1"/>
  <c r="J8" i="46" s="1"/>
  <c r="I7" i="46"/>
  <c r="J7" i="46" s="1"/>
  <c r="F7" i="46"/>
  <c r="I6" i="46"/>
  <c r="J6" i="46" s="1"/>
  <c r="F6" i="46"/>
  <c r="F11" i="46"/>
  <c r="I11" i="46" s="1"/>
  <c r="J11" i="46" s="1"/>
  <c r="X67" i="46"/>
  <c r="P65" i="46"/>
  <c r="P68" i="46" s="1"/>
  <c r="P64" i="46"/>
  <c r="P60" i="46"/>
  <c r="Z59" i="46"/>
  <c r="P59" i="46"/>
  <c r="R57" i="46"/>
  <c r="U41" i="46"/>
  <c r="O39" i="46"/>
  <c r="O38" i="46"/>
  <c r="O42" i="46" s="1"/>
  <c r="O34" i="46"/>
  <c r="W33" i="46"/>
  <c r="O33" i="46"/>
  <c r="Q31" i="46"/>
  <c r="B13" i="46"/>
  <c r="G16" i="40"/>
  <c r="I15" i="40"/>
  <c r="H15" i="40"/>
  <c r="E15" i="40"/>
  <c r="E14" i="40"/>
  <c r="H14" i="40" s="1"/>
  <c r="I14" i="40" s="1"/>
  <c r="B17" i="40"/>
  <c r="G9" i="40"/>
  <c r="T45" i="40"/>
  <c r="N43" i="40"/>
  <c r="N42" i="40"/>
  <c r="N38" i="40"/>
  <c r="V37" i="40"/>
  <c r="N37" i="40"/>
  <c r="P35" i="40"/>
  <c r="E7" i="40"/>
  <c r="H7" i="40" s="1"/>
  <c r="I7" i="40" s="1"/>
  <c r="X64" i="28"/>
  <c r="P62" i="28"/>
  <c r="P61" i="28"/>
  <c r="P65" i="28"/>
  <c r="P57" i="28"/>
  <c r="Z56" i="28"/>
  <c r="P56" i="28"/>
  <c r="R54" i="28"/>
  <c r="B36" i="28"/>
  <c r="H34" i="28"/>
  <c r="J33" i="28"/>
  <c r="I33" i="28"/>
  <c r="F33" i="28"/>
  <c r="J32" i="28"/>
  <c r="I32" i="28"/>
  <c r="F32" i="28"/>
  <c r="J31" i="28"/>
  <c r="I31" i="28"/>
  <c r="F31" i="28"/>
  <c r="J30" i="28"/>
  <c r="I30" i="28"/>
  <c r="F30" i="28"/>
  <c r="F29" i="28"/>
  <c r="I29" i="28"/>
  <c r="H23" i="28"/>
  <c r="J22" i="28"/>
  <c r="I22" i="28"/>
  <c r="F22" i="28"/>
  <c r="J21" i="28"/>
  <c r="I21" i="28"/>
  <c r="F21" i="28"/>
  <c r="J20" i="28"/>
  <c r="I20" i="28"/>
  <c r="F20" i="28"/>
  <c r="J19" i="28"/>
  <c r="I19" i="28"/>
  <c r="F19" i="28"/>
  <c r="F18" i="28"/>
  <c r="I18" i="28"/>
  <c r="H12" i="28"/>
  <c r="J11" i="28"/>
  <c r="I11" i="28"/>
  <c r="F11" i="28"/>
  <c r="J10" i="28"/>
  <c r="I10" i="28"/>
  <c r="F10" i="28"/>
  <c r="J9" i="28"/>
  <c r="I9" i="28"/>
  <c r="F9" i="28"/>
  <c r="J8" i="28"/>
  <c r="I8" i="28"/>
  <c r="F8" i="28"/>
  <c r="F7" i="28"/>
  <c r="I7" i="28"/>
  <c r="I34" i="28"/>
  <c r="J34" i="28"/>
  <c r="I23" i="28"/>
  <c r="J23" i="28"/>
  <c r="J29" i="28"/>
  <c r="J18" i="28"/>
  <c r="I12" i="28"/>
  <c r="J12" i="28"/>
  <c r="J7" i="28"/>
  <c r="H279" i="32"/>
  <c r="G279" i="32"/>
  <c r="E279" i="32"/>
  <c r="F279" i="32"/>
  <c r="J279" i="32"/>
  <c r="H278" i="32"/>
  <c r="G278" i="32"/>
  <c r="F278" i="32"/>
  <c r="J278" i="32"/>
  <c r="H277" i="32"/>
  <c r="G277" i="32"/>
  <c r="J274" i="32"/>
  <c r="O274" i="32"/>
  <c r="Q274" i="32"/>
  <c r="H274" i="32"/>
  <c r="F274" i="32"/>
  <c r="D274" i="32"/>
  <c r="G274" i="32"/>
  <c r="J273" i="32"/>
  <c r="O273" i="32"/>
  <c r="Q273" i="32"/>
  <c r="L273" i="32"/>
  <c r="K273" i="32"/>
  <c r="H273" i="32"/>
  <c r="D273" i="32"/>
  <c r="G273" i="32"/>
  <c r="F273" i="32"/>
  <c r="J272" i="32"/>
  <c r="O272" i="32"/>
  <c r="Q272" i="32"/>
  <c r="L272" i="32"/>
  <c r="K272" i="32"/>
  <c r="H272" i="32"/>
  <c r="F272" i="32"/>
  <c r="D272" i="32"/>
  <c r="G272" i="32"/>
  <c r="H269" i="32"/>
  <c r="E269" i="32"/>
  <c r="G269" i="32"/>
  <c r="H268" i="32"/>
  <c r="E268" i="32"/>
  <c r="F268" i="32"/>
  <c r="H267" i="32"/>
  <c r="E267" i="32"/>
  <c r="F267" i="32"/>
  <c r="J267" i="32"/>
  <c r="M262" i="32"/>
  <c r="L262" i="32"/>
  <c r="I262" i="32"/>
  <c r="K262" i="32"/>
  <c r="J262" i="32"/>
  <c r="E262" i="32"/>
  <c r="H262" i="32"/>
  <c r="F262" i="32"/>
  <c r="M261" i="32"/>
  <c r="L261" i="32"/>
  <c r="I261" i="32"/>
  <c r="K261" i="32"/>
  <c r="J261" i="32"/>
  <c r="E261" i="32"/>
  <c r="H261" i="32"/>
  <c r="F261" i="32"/>
  <c r="I260" i="32"/>
  <c r="K260" i="32"/>
  <c r="M260" i="32"/>
  <c r="J260" i="32"/>
  <c r="E260" i="32"/>
  <c r="H260" i="32"/>
  <c r="F260" i="32"/>
  <c r="I257" i="32"/>
  <c r="K257" i="32"/>
  <c r="J257" i="32"/>
  <c r="E257" i="32"/>
  <c r="H257" i="32"/>
  <c r="I256" i="32"/>
  <c r="K256" i="32"/>
  <c r="J256" i="32"/>
  <c r="E256" i="32"/>
  <c r="H256" i="32"/>
  <c r="I255" i="32"/>
  <c r="K255" i="32"/>
  <c r="J255" i="32"/>
  <c r="E255" i="32"/>
  <c r="H255" i="32"/>
  <c r="J250" i="32"/>
  <c r="I250" i="32"/>
  <c r="H250" i="32"/>
  <c r="D250" i="32"/>
  <c r="G250" i="32"/>
  <c r="E250" i="32"/>
  <c r="J249" i="32"/>
  <c r="I249" i="32"/>
  <c r="H249" i="32"/>
  <c r="D249" i="32"/>
  <c r="G249" i="32"/>
  <c r="E249" i="32"/>
  <c r="H248" i="32"/>
  <c r="D248" i="32"/>
  <c r="G248" i="32"/>
  <c r="E248" i="32"/>
  <c r="H245" i="32"/>
  <c r="F245" i="32"/>
  <c r="D245" i="32"/>
  <c r="H244" i="32"/>
  <c r="F244" i="32"/>
  <c r="D244" i="32"/>
  <c r="I244" i="32"/>
  <c r="H243" i="32"/>
  <c r="F243" i="32"/>
  <c r="D243" i="32"/>
  <c r="E237" i="32"/>
  <c r="E236" i="32"/>
  <c r="E238" i="32"/>
  <c r="K226" i="32"/>
  <c r="K227" i="32"/>
  <c r="J226" i="32"/>
  <c r="J227" i="32"/>
  <c r="I226" i="32"/>
  <c r="I227" i="32"/>
  <c r="H226" i="32"/>
  <c r="H227" i="32"/>
  <c r="D219" i="32"/>
  <c r="H217" i="32"/>
  <c r="H218" i="32"/>
  <c r="K217" i="32"/>
  <c r="K218" i="32"/>
  <c r="J217" i="32"/>
  <c r="J218" i="32"/>
  <c r="I217" i="32"/>
  <c r="I218" i="32"/>
  <c r="D210" i="32"/>
  <c r="D201" i="32"/>
  <c r="G193" i="32"/>
  <c r="D193" i="32"/>
  <c r="D192" i="32"/>
  <c r="J185" i="32"/>
  <c r="D185" i="32"/>
  <c r="D176" i="32"/>
  <c r="D172" i="32"/>
  <c r="I171" i="32"/>
  <c r="D171" i="32"/>
  <c r="I165" i="32"/>
  <c r="D165" i="32"/>
  <c r="I159" i="32"/>
  <c r="D159" i="32"/>
  <c r="I149" i="32"/>
  <c r="I147" i="32"/>
  <c r="I146" i="32"/>
  <c r="Q144" i="32"/>
  <c r="P144" i="32"/>
  <c r="O144" i="32"/>
  <c r="N144" i="32"/>
  <c r="M144" i="32"/>
  <c r="L144" i="32"/>
  <c r="K144" i="32"/>
  <c r="J144" i="32"/>
  <c r="I144" i="32"/>
  <c r="H144" i="32"/>
  <c r="G144" i="32"/>
  <c r="F144" i="32"/>
  <c r="E144" i="32"/>
  <c r="D144" i="32"/>
  <c r="C144" i="32"/>
  <c r="B144" i="32"/>
  <c r="I148" i="32"/>
  <c r="I150" i="32"/>
  <c r="Q143" i="32"/>
  <c r="P143" i="32"/>
  <c r="O143" i="32"/>
  <c r="N143" i="32"/>
  <c r="M143" i="32"/>
  <c r="L143" i="32"/>
  <c r="K143" i="32"/>
  <c r="Q142" i="32"/>
  <c r="P142" i="32"/>
  <c r="O142" i="32"/>
  <c r="N142" i="32"/>
  <c r="M142" i="32"/>
  <c r="L142" i="32"/>
  <c r="K142" i="32"/>
  <c r="J142" i="32"/>
  <c r="I142" i="32"/>
  <c r="H142" i="32"/>
  <c r="G142" i="32"/>
  <c r="F142" i="32"/>
  <c r="E142" i="32"/>
  <c r="D142" i="32"/>
  <c r="C142" i="32"/>
  <c r="B142" i="32"/>
  <c r="C139" i="32"/>
  <c r="D139" i="32"/>
  <c r="E139" i="32"/>
  <c r="F139" i="32"/>
  <c r="G139" i="32"/>
  <c r="H139" i="32"/>
  <c r="I139" i="32"/>
  <c r="J139" i="32"/>
  <c r="K139" i="32"/>
  <c r="L139" i="32"/>
  <c r="M139" i="32"/>
  <c r="N139" i="32"/>
  <c r="O139" i="32"/>
  <c r="P139" i="32"/>
  <c r="Q139" i="32"/>
  <c r="B139" i="32"/>
  <c r="D147" i="32"/>
  <c r="D146" i="32"/>
  <c r="D134" i="32"/>
  <c r="G132" i="32"/>
  <c r="G133" i="32"/>
  <c r="E122" i="32"/>
  <c r="D122" i="32"/>
  <c r="H122" i="32"/>
  <c r="E118" i="32"/>
  <c r="E119" i="32"/>
  <c r="E120" i="32"/>
  <c r="E121" i="32"/>
  <c r="E123" i="32"/>
  <c r="D118" i="32"/>
  <c r="D119" i="32"/>
  <c r="H113" i="32"/>
  <c r="D100" i="32"/>
  <c r="E100" i="32"/>
  <c r="F100" i="32"/>
  <c r="G100" i="32"/>
  <c r="F101" i="32"/>
  <c r="F95" i="32"/>
  <c r="F94" i="32"/>
  <c r="E86" i="32"/>
  <c r="D86" i="32"/>
  <c r="H86" i="32"/>
  <c r="E84" i="32"/>
  <c r="E85" i="32"/>
  <c r="E87" i="32"/>
  <c r="E89" i="32"/>
  <c r="D84" i="32"/>
  <c r="D85" i="32"/>
  <c r="D87" i="32"/>
  <c r="H84" i="32"/>
  <c r="H80" i="32"/>
  <c r="N71" i="32"/>
  <c r="N72" i="32"/>
  <c r="N73" i="32"/>
  <c r="J71" i="32"/>
  <c r="J72" i="32"/>
  <c r="J73" i="32"/>
  <c r="F71" i="32"/>
  <c r="F72" i="32"/>
  <c r="F73" i="32"/>
  <c r="M71" i="32"/>
  <c r="M72" i="32"/>
  <c r="L71" i="32"/>
  <c r="L72" i="32"/>
  <c r="I71" i="32"/>
  <c r="I72" i="32"/>
  <c r="H71" i="32"/>
  <c r="H72" i="32"/>
  <c r="E71" i="32"/>
  <c r="E72" i="32"/>
  <c r="O71" i="32"/>
  <c r="O72" i="32"/>
  <c r="M73" i="32"/>
  <c r="L73" i="32"/>
  <c r="K71" i="32"/>
  <c r="I73" i="32"/>
  <c r="H73" i="32"/>
  <c r="G71" i="32"/>
  <c r="G72" i="32"/>
  <c r="E65" i="32"/>
  <c r="E66" i="32"/>
  <c r="E59" i="32"/>
  <c r="D48" i="32"/>
  <c r="D49" i="32"/>
  <c r="D39" i="32"/>
  <c r="D31" i="32"/>
  <c r="D21" i="32"/>
  <c r="D20" i="32"/>
  <c r="D23" i="32"/>
  <c r="E12" i="32"/>
  <c r="E11" i="32"/>
  <c r="B11" i="32"/>
  <c r="E10" i="32"/>
  <c r="B10" i="32"/>
  <c r="M9" i="32"/>
  <c r="J9" i="32"/>
  <c r="E9" i="32"/>
  <c r="B9" i="32"/>
  <c r="M8" i="32"/>
  <c r="J8" i="32"/>
  <c r="E8" i="32"/>
  <c r="B8" i="32"/>
  <c r="M7" i="32"/>
  <c r="H7" i="32"/>
  <c r="E7" i="32"/>
  <c r="B7" i="32"/>
  <c r="M6" i="32"/>
  <c r="H6" i="32"/>
  <c r="E6" i="32"/>
  <c r="B6" i="32"/>
  <c r="J143" i="32"/>
  <c r="H143" i="32"/>
  <c r="I143" i="32"/>
  <c r="G143" i="32"/>
  <c r="C143" i="32"/>
  <c r="F143" i="32"/>
  <c r="E143" i="32"/>
  <c r="D143" i="32"/>
  <c r="D120" i="32"/>
  <c r="H119" i="32"/>
  <c r="L256" i="32"/>
  <c r="F256" i="32"/>
  <c r="M256" i="32"/>
  <c r="I243" i="32"/>
  <c r="E243" i="32"/>
  <c r="J243" i="32"/>
  <c r="O278" i="32"/>
  <c r="Q278" i="32"/>
  <c r="L278" i="32"/>
  <c r="K278" i="32"/>
  <c r="L257" i="32"/>
  <c r="M257" i="32"/>
  <c r="F257" i="32"/>
  <c r="J245" i="32"/>
  <c r="E245" i="32"/>
  <c r="I245" i="32"/>
  <c r="K267" i="32"/>
  <c r="O267" i="32"/>
  <c r="Q267" i="32"/>
  <c r="L267" i="32"/>
  <c r="F277" i="32"/>
  <c r="J277" i="32"/>
  <c r="E277" i="32"/>
  <c r="J268" i="32"/>
  <c r="G268" i="32"/>
  <c r="K279" i="32"/>
  <c r="O279" i="32"/>
  <c r="Q279" i="32"/>
  <c r="L279" i="32"/>
  <c r="M255" i="32"/>
  <c r="L255" i="32"/>
  <c r="F255" i="32"/>
  <c r="H87" i="32"/>
  <c r="H88" i="32"/>
  <c r="H89" i="32"/>
  <c r="D89" i="32"/>
  <c r="G73" i="32"/>
  <c r="O73" i="32"/>
  <c r="E105" i="32"/>
  <c r="D105" i="32"/>
  <c r="I248" i="32"/>
  <c r="G267" i="32"/>
  <c r="K274" i="32"/>
  <c r="H85" i="32"/>
  <c r="F105" i="32"/>
  <c r="E244" i="32"/>
  <c r="J248" i="32"/>
  <c r="F269" i="32"/>
  <c r="J269" i="32"/>
  <c r="L274" i="32"/>
  <c r="K72" i="32"/>
  <c r="K73" i="32"/>
  <c r="C82" i="32"/>
  <c r="D121" i="32"/>
  <c r="L260" i="32"/>
  <c r="E101" i="32"/>
  <c r="D101" i="32"/>
  <c r="H118" i="32"/>
  <c r="J244" i="32"/>
  <c r="E278" i="32"/>
  <c r="E82" i="32"/>
  <c r="O268" i="32"/>
  <c r="Q268" i="32"/>
  <c r="L268" i="32"/>
  <c r="K268" i="32"/>
  <c r="J88" i="32"/>
  <c r="J89" i="32"/>
  <c r="O277" i="32"/>
  <c r="Q277" i="32"/>
  <c r="L277" i="32"/>
  <c r="K277" i="32"/>
  <c r="L269" i="32"/>
  <c r="K269" i="32"/>
  <c r="O269" i="32"/>
  <c r="Q269" i="32"/>
  <c r="H121" i="32"/>
  <c r="D123" i="32"/>
  <c r="H123" i="32"/>
  <c r="H124" i="32"/>
  <c r="H125" i="32"/>
  <c r="B143" i="32"/>
  <c r="D149" i="32"/>
  <c r="D124" i="32"/>
  <c r="D125" i="32"/>
  <c r="D126" i="32"/>
  <c r="H120" i="32"/>
  <c r="D150" i="32"/>
  <c r="M129" i="32"/>
  <c r="M131" i="32"/>
  <c r="O131" i="32"/>
  <c r="M133" i="32"/>
  <c r="M130" i="32"/>
  <c r="O130" i="32"/>
  <c r="M132" i="32"/>
  <c r="M134" i="32"/>
  <c r="O134" i="32"/>
  <c r="N46" i="40" l="1"/>
  <c r="H16" i="40"/>
  <c r="I16" i="40" s="1"/>
  <c r="H9" i="40"/>
  <c r="I9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99" authorId="0" shapeId="0" xr:uid="{0E6DC6C0-661B-4E88-8178-CD8BF2C6051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Ar lielako šķirbu</t>
        </r>
      </text>
    </comment>
  </commentList>
</comments>
</file>

<file path=xl/sharedStrings.xml><?xml version="1.0" encoding="utf-8"?>
<sst xmlns="http://schemas.openxmlformats.org/spreadsheetml/2006/main" count="1046" uniqueCount="380">
  <si>
    <t>Gaisa ražība</t>
  </si>
  <si>
    <t>kW</t>
  </si>
  <si>
    <t>Faktiskie dati</t>
  </si>
  <si>
    <t>Plūsma</t>
  </si>
  <si>
    <t>Projekta dati</t>
  </si>
  <si>
    <t>∆P</t>
  </si>
  <si>
    <t>Pa</t>
  </si>
  <si>
    <t>k</t>
  </si>
  <si>
    <t>Q</t>
  </si>
  <si>
    <t>l/sek.</t>
  </si>
  <si>
    <t>m3/h</t>
  </si>
  <si>
    <t>Siltumjauda</t>
  </si>
  <si>
    <t>Pirms</t>
  </si>
  <si>
    <t>Tips</t>
  </si>
  <si>
    <t>°C</t>
  </si>
  <si>
    <t>%RH</t>
  </si>
  <si>
    <t>P</t>
  </si>
  <si>
    <t>Kopa:</t>
  </si>
  <si>
    <t>Mērīšanas punkts</t>
  </si>
  <si>
    <t>Projekta plūsma</t>
  </si>
  <si>
    <t>Novirze no projekta</t>
  </si>
  <si>
    <t>Gaisa svars</t>
  </si>
  <si>
    <t>Neatbilstības un vietās, kur neizdevās sasniegt projekta paredzētus gaisa daudzumus, mikroklimatiskus apstākļus vai darba vides kvalitāti darba zonā.</t>
  </si>
  <si>
    <t>Mērījuma punkta numurs</t>
  </si>
  <si>
    <t>Faktiskie parametri</t>
  </si>
  <si>
    <t>Projekta parametri</t>
  </si>
  <si>
    <t>Faktiskas situācijas apraksts</t>
  </si>
  <si>
    <t>Rekomendācijas.</t>
  </si>
  <si>
    <t>Sistemas numurs</t>
  </si>
  <si>
    <t>m</t>
  </si>
  <si>
    <t>W</t>
  </si>
  <si>
    <t>Garums</t>
  </si>
  <si>
    <t>A</t>
  </si>
  <si>
    <t>Platums</t>
  </si>
  <si>
    <t>B</t>
  </si>
  <si>
    <t>Gaisa daudzums</t>
  </si>
  <si>
    <t>%</t>
  </si>
  <si>
    <t>Caurvēja apreķins</t>
  </si>
  <si>
    <t>Gaisa temperatura</t>
  </si>
  <si>
    <t>ta=</t>
  </si>
  <si>
    <t xml:space="preserve"> 19&lt;ta&lt;27 °C</t>
  </si>
  <si>
    <t>Gaisa kustības atrums</t>
  </si>
  <si>
    <t>v=</t>
  </si>
  <si>
    <t>m/s</t>
  </si>
  <si>
    <t>Vietējā turbulences intensitāte</t>
  </si>
  <si>
    <t>Tu=</t>
  </si>
  <si>
    <t>Neapmerinato personu skaits</t>
  </si>
  <si>
    <t>DR=</t>
  </si>
  <si>
    <t>Gaisa zudumi (m3/h)</t>
  </si>
  <si>
    <t>Augstums</t>
  </si>
  <si>
    <t>Blīvuma klase</t>
  </si>
  <si>
    <t>C</t>
  </si>
  <si>
    <t>D</t>
  </si>
  <si>
    <t>Darba spiediens</t>
  </si>
  <si>
    <t>Laukums</t>
  </si>
  <si>
    <t>m2</t>
  </si>
  <si>
    <t>Gaisa masas plūsmas aprēķins</t>
  </si>
  <si>
    <t>Gaisa ražībā (tilpuma plūsmā)</t>
  </si>
  <si>
    <t>Gaisa temperatūrā</t>
  </si>
  <si>
    <t>Gaisa blīvums</t>
  </si>
  <si>
    <t>kg/m3</t>
  </si>
  <si>
    <t>Gaisa masas plūsmā</t>
  </si>
  <si>
    <t>kg/h</t>
  </si>
  <si>
    <t>Gaisa tilpuma plūsmas aprēķins</t>
  </si>
  <si>
    <t>Krasas:</t>
  </si>
  <si>
    <t>ievadīt</t>
  </si>
  <si>
    <t>aprēķins</t>
  </si>
  <si>
    <t xml:space="preserve">Konvertors </t>
  </si>
  <si>
    <t>Spiediens</t>
  </si>
  <si>
    <t>Enerģija</t>
  </si>
  <si>
    <t>m3/st</t>
  </si>
  <si>
    <t>sek.</t>
  </si>
  <si>
    <t>kW/st.</t>
  </si>
  <si>
    <t>kPa</t>
  </si>
  <si>
    <t>m3/sek.</t>
  </si>
  <si>
    <t>m3</t>
  </si>
  <si>
    <t>cal</t>
  </si>
  <si>
    <t>Bar</t>
  </si>
  <si>
    <t>cal/sek.</t>
  </si>
  <si>
    <t>k-vērtība</t>
  </si>
  <si>
    <t>Mcal</t>
  </si>
  <si>
    <t>kgf/m2</t>
  </si>
  <si>
    <t>cal/st.</t>
  </si>
  <si>
    <t>m3/st.</t>
  </si>
  <si>
    <t>kJ</t>
  </si>
  <si>
    <t>mH2O</t>
  </si>
  <si>
    <t>MJ</t>
  </si>
  <si>
    <t>cmH2O</t>
  </si>
  <si>
    <t>J/sek.</t>
  </si>
  <si>
    <t>mmH2O</t>
  </si>
  <si>
    <t>J/st.</t>
  </si>
  <si>
    <t>kJ/st.</t>
  </si>
  <si>
    <t>Gravitācijas nosūces aprēķins</t>
  </si>
  <si>
    <t>Aukstumatzimju starpība</t>
  </si>
  <si>
    <t>H=</t>
  </si>
  <si>
    <t>Argaisa temperatūra</t>
  </si>
  <si>
    <t>t1=</t>
  </si>
  <si>
    <t>Telpas temperatūra</t>
  </si>
  <si>
    <t>t2=</t>
  </si>
  <si>
    <t>Ara gaisa blīvums</t>
  </si>
  <si>
    <t>ρ1=</t>
  </si>
  <si>
    <t>Telpas gaisa blīvums</t>
  </si>
  <si>
    <t>ρ2=</t>
  </si>
  <si>
    <t>Spiediens sistēma</t>
  </si>
  <si>
    <t>Ventilācijas efektivitāte</t>
  </si>
  <si>
    <t>Piesārņojuma koncentrācija nosūces gaisā</t>
  </si>
  <si>
    <t>Ce=</t>
  </si>
  <si>
    <t>Piesārņojuma koncentrācija piepludes gaisā</t>
  </si>
  <si>
    <t>Cs=</t>
  </si>
  <si>
    <t>Piesārņojuma koncentrācija elposamas zona</t>
  </si>
  <si>
    <t>Ci=</t>
  </si>
  <si>
    <t>Ventilacijas efektivitate</t>
  </si>
  <si>
    <t>Nepieciešama gaisa apmaiņa</t>
  </si>
  <si>
    <t>Ķīmiskā piesārņojuma koncentrācija</t>
  </si>
  <si>
    <t>Gh=</t>
  </si>
  <si>
    <t>µg/s mikrogramos sekundē</t>
  </si>
  <si>
    <t>Ķīmikāliju ieteiktā vērtība</t>
  </si>
  <si>
    <t>Ch,i=</t>
  </si>
  <si>
    <t>µg/l mikrogramos litrā</t>
  </si>
  <si>
    <t>Ķīmikāliju koncentrācija āra gaisa ņemšanas vietā</t>
  </si>
  <si>
    <t>Ch,o=</t>
  </si>
  <si>
    <t>Veselībai nepieciešamā gaisa apmaiņa,</t>
  </si>
  <si>
    <t>Qh=</t>
  </si>
  <si>
    <t>l/s</t>
  </si>
  <si>
    <t>Gaisa sajaukšanas temperatura</t>
  </si>
  <si>
    <t>Svaiga gaisa procentualais saturs</t>
  </si>
  <si>
    <t>x0=</t>
  </si>
  <si>
    <t>Svaiga gaisa temperatūra</t>
  </si>
  <si>
    <t>ts=</t>
  </si>
  <si>
    <t>Recilkulacijas gasa procentualais saturs</t>
  </si>
  <si>
    <t>xr=</t>
  </si>
  <si>
    <t>Recirkulejama gaisa temperatura</t>
  </si>
  <si>
    <t>tr=</t>
  </si>
  <si>
    <t>Gaisa maisejuma temperatura</t>
  </si>
  <si>
    <t>tm=</t>
  </si>
  <si>
    <t>Procesa mitrināšanas un sausināšanas aprēķins</t>
  </si>
  <si>
    <t>Atmosfēras spiediens</t>
  </si>
  <si>
    <t>Gaisa temperatūra</t>
  </si>
  <si>
    <t>t=</t>
  </si>
  <si>
    <t>Δ=</t>
  </si>
  <si>
    <t>Gaisa relatīvais mitrums</t>
  </si>
  <si>
    <t>Gaisa daudzums (kg)</t>
  </si>
  <si>
    <t>Parciālais spiediens</t>
  </si>
  <si>
    <t>Ūdens saturs gaisa</t>
  </si>
  <si>
    <t>g/kg</t>
  </si>
  <si>
    <t>Gaisa entalpija</t>
  </si>
  <si>
    <t>kJ/kg</t>
  </si>
  <si>
    <t>∑=</t>
  </si>
  <si>
    <t>kW/kg.</t>
  </si>
  <si>
    <t>Parspiediena apreķins</t>
  </si>
  <si>
    <t>1.variants</t>
  </si>
  <si>
    <t>t°C</t>
  </si>
  <si>
    <t>blivums</t>
  </si>
  <si>
    <t>Tira telpa</t>
  </si>
  <si>
    <t>Tamburs</t>
  </si>
  <si>
    <t>Durvju skaits</t>
  </si>
  <si>
    <t>gb</t>
  </si>
  <si>
    <t>Durvju platums</t>
  </si>
  <si>
    <t>Durvju augstums</t>
  </si>
  <si>
    <t>Šķirba</t>
  </si>
  <si>
    <t>mm</t>
  </si>
  <si>
    <t>Kopa m2</t>
  </si>
  <si>
    <t>Šķirbas laukums</t>
  </si>
  <si>
    <t>^0,5</t>
  </si>
  <si>
    <t>^0,67</t>
  </si>
  <si>
    <t>2.variants</t>
  </si>
  <si>
    <t>Spiediena starpība</t>
  </si>
  <si>
    <t>Baseina sausināšanas aprēķins</t>
  </si>
  <si>
    <t>Grida</t>
  </si>
  <si>
    <t>Gaiss</t>
  </si>
  <si>
    <t>Atmosferas spiediens</t>
  </si>
  <si>
    <t>Baseina laukums</t>
  </si>
  <si>
    <t>Emperiskais koeficients</t>
  </si>
  <si>
    <t>E</t>
  </si>
  <si>
    <t>Parciālais spiediens pie noteikta mitruma</t>
  </si>
  <si>
    <t>mbar</t>
  </si>
  <si>
    <t>Mitruma izdalijumi</t>
  </si>
  <si>
    <t>g/h</t>
  </si>
  <si>
    <t>l/h</t>
  </si>
  <si>
    <t>Mitruma izdalijumi diennakti</t>
  </si>
  <si>
    <t>l/dnn</t>
  </si>
  <si>
    <t>Dinamiskais spiediens</t>
  </si>
  <si>
    <t>Pdi=</t>
  </si>
  <si>
    <t>Тр=</t>
  </si>
  <si>
    <t>Pīto caurules koeficients</t>
  </si>
  <si>
    <t>Кт=</t>
  </si>
  <si>
    <t>Gaisa kustības ātrums</t>
  </si>
  <si>
    <t>vi=</t>
  </si>
  <si>
    <t>Mērījumu kļūdas noteikšana</t>
  </si>
  <si>
    <t>Mērījumu skaits</t>
  </si>
  <si>
    <t>Dinamiskais spiediens (Pa)</t>
  </si>
  <si>
    <t>Spiediena vidējā aritmētiskā vērtība</t>
  </si>
  <si>
    <t>Δpvid=</t>
  </si>
  <si>
    <t>Koriģēts dinamiskais spiediens</t>
  </si>
  <si>
    <t>p din=</t>
  </si>
  <si>
    <t>Stjūdenta koeficients</t>
  </si>
  <si>
    <t>k=</t>
  </si>
  <si>
    <t>Absolūta kļūda jeb ticamības intervāls</t>
  </si>
  <si>
    <t>Relatīvās kļūdas noteikšana</t>
  </si>
  <si>
    <t>ɛ=</t>
  </si>
  <si>
    <t>Proporcionāla L, n, P, N parametru izmaiņa</t>
  </si>
  <si>
    <t>Plūsma &lt;=&gt; apgriezienu skaits (^1)</t>
  </si>
  <si>
    <t>Faktiskais apgriezienu skaits</t>
  </si>
  <si>
    <t xml:space="preserve"> nf=</t>
  </si>
  <si>
    <t>apg/min</t>
  </si>
  <si>
    <t>Faktiska plūsma</t>
  </si>
  <si>
    <t>Lf=</t>
  </si>
  <si>
    <t>Vajadzīga plūsma</t>
  </si>
  <si>
    <t>Lv=</t>
  </si>
  <si>
    <t>Vajadzīgais apgriezienu skaits</t>
  </si>
  <si>
    <t>nv=</t>
  </si>
  <si>
    <t>Vajadzīgs apgriezienu skaits</t>
  </si>
  <si>
    <t>Spiediens &lt;=&gt; apgriezienu skaits; ražība (^2)</t>
  </si>
  <si>
    <t>apg/min; m3/h</t>
  </si>
  <si>
    <t>Faktiskais pilnais spiediens</t>
  </si>
  <si>
    <t>Ppf=</t>
  </si>
  <si>
    <t xml:space="preserve"> nv=</t>
  </si>
  <si>
    <t>Vajadzīgs pilns spiediens</t>
  </si>
  <si>
    <t>Ppv=</t>
  </si>
  <si>
    <t>Jauda; strāva &lt;=&gt; apgriezienu skaits; ražība (^3)</t>
  </si>
  <si>
    <t>Faktiskais apgriezienu skaits, ražība</t>
  </si>
  <si>
    <t>Faktiska jauda, strāva</t>
  </si>
  <si>
    <t>Nf=</t>
  </si>
  <si>
    <t>kW; A</t>
  </si>
  <si>
    <t>Nv=</t>
  </si>
  <si>
    <t>Faktiska jauda</t>
  </si>
  <si>
    <t>Vajadzīgs apgriezienu skaits, ražība</t>
  </si>
  <si>
    <t>Vajadzīga jauda</t>
  </si>
  <si>
    <t>Procentuālas izmaiņas spiediens &lt;=&gt; apgriezienu skaits</t>
  </si>
  <si>
    <t>Faktiskais spiediens</t>
  </si>
  <si>
    <t>Vajadzīgs spiediens</t>
  </si>
  <si>
    <t>Plūsmas, apgriezienu izmaiņas</t>
  </si>
  <si>
    <t>Ventilatora piedziņas aprēķins</t>
  </si>
  <si>
    <t>Dzinēja šķiva diametrs</t>
  </si>
  <si>
    <t>d=</t>
  </si>
  <si>
    <t>Attālums starp šķavu centriem</t>
  </si>
  <si>
    <t>C=</t>
  </si>
  <si>
    <t>Dzinēja apgr. skaits</t>
  </si>
  <si>
    <t>ns=</t>
  </si>
  <si>
    <t>apgr/min</t>
  </si>
  <si>
    <t>D=</t>
  </si>
  <si>
    <t>Ventilatora apgr. skaits</t>
  </si>
  <si>
    <t>nw=</t>
  </si>
  <si>
    <t>Ventilatora šķiva diametrs</t>
  </si>
  <si>
    <t>Siksnās garums</t>
  </si>
  <si>
    <t>L=</t>
  </si>
  <si>
    <t>k-faktora metode</t>
  </si>
  <si>
    <t>K-faktors</t>
  </si>
  <si>
    <t>Temperatūras korekcijas koeficients (k-faktors)</t>
  </si>
  <si>
    <t>Uzmērīta plūsma</t>
  </si>
  <si>
    <t>Faktiskais gaisa svars</t>
  </si>
  <si>
    <t>Koriģēta plūsma</t>
  </si>
  <si>
    <t>Gaisa vadu presēšana</t>
  </si>
  <si>
    <t>zudumi m3/h uz 1m2</t>
  </si>
  <si>
    <t>Gaisa plūsmas aprēķins no siltumjaudas</t>
  </si>
  <si>
    <t>Ara gaisa temperatūra</t>
  </si>
  <si>
    <t>Pieplūdes gaisa temperatūrā</t>
  </si>
  <si>
    <t>Noteicoša temperatūrā</t>
  </si>
  <si>
    <t>Temperatūras starpība sistēmā</t>
  </si>
  <si>
    <t>Gaisa plūsmā</t>
  </si>
  <si>
    <t>Aerodinamiskais aprēķins (apaļiem gaisa vadiem)</t>
  </si>
  <si>
    <t>Diametrs, mm</t>
  </si>
  <si>
    <t>Daudzums, m3/h</t>
  </si>
  <si>
    <t>Ātrums, m/sek.</t>
  </si>
  <si>
    <t>Dinamiskais spiediens, Pa</t>
  </si>
  <si>
    <t>Laukums, m2</t>
  </si>
  <si>
    <t>Delta t°C</t>
  </si>
  <si>
    <t>Siltuma jauda  (kW)</t>
  </si>
  <si>
    <t>Aerodinamiskais aprēķins (kantainiem gaisavadiem)</t>
  </si>
  <si>
    <t>Augst. mm</t>
  </si>
  <si>
    <t>Platums, mm</t>
  </si>
  <si>
    <t>P din, Pa</t>
  </si>
  <si>
    <t>Dekv, mm</t>
  </si>
  <si>
    <t>Dekv, laukums m2</t>
  </si>
  <si>
    <t>P din Pa</t>
  </si>
  <si>
    <t>Hidrauliskais aprēķins</t>
  </si>
  <si>
    <t>d (mm)</t>
  </si>
  <si>
    <t>Q (kW)</t>
  </si>
  <si>
    <t>G (m3/h)</t>
  </si>
  <si>
    <t>G (l/s)</t>
  </si>
  <si>
    <t>V (m/s)</t>
  </si>
  <si>
    <t>S (m2)</t>
  </si>
  <si>
    <t>Δ P(kPa)</t>
  </si>
  <si>
    <t>Kv l/s</t>
  </si>
  <si>
    <t>Kv+40%</t>
  </si>
  <si>
    <t>Kv_20%</t>
  </si>
  <si>
    <t>rinda</t>
  </si>
  <si>
    <t>Tuv Kv</t>
  </si>
  <si>
    <t>DPv(kPa)</t>
  </si>
  <si>
    <t>Ppiln(kPa)</t>
  </si>
  <si>
    <t>ß&gt;0,5</t>
  </si>
  <si>
    <t>Kartas nr.</t>
  </si>
  <si>
    <t>Объем проверок и тестирования</t>
  </si>
  <si>
    <t>Уровень проверки</t>
  </si>
  <si>
    <t>шт</t>
  </si>
  <si>
    <t>Количество проверок (шт)</t>
  </si>
  <si>
    <t>Количество проверок (%)</t>
  </si>
  <si>
    <t>Количество подобных элементов</t>
  </si>
  <si>
    <t>Минимальное значение</t>
  </si>
  <si>
    <t>Максимальное значение</t>
  </si>
  <si>
    <t>Число измерений</t>
  </si>
  <si>
    <t>Неравномерность</t>
  </si>
  <si>
    <t>Погрешность измерения (LVS EN 12599)</t>
  </si>
  <si>
    <t>laukums</t>
  </si>
  <si>
    <t>τu%</t>
  </si>
  <si>
    <t>Starpība</t>
  </si>
  <si>
    <t>Pīto caurules mērījumu korekcijas</t>
  </si>
  <si>
    <t>Minimāla vērtība</t>
  </si>
  <si>
    <t>Maksimāla vērtība</t>
  </si>
  <si>
    <t>Minimāla plūsma</t>
  </si>
  <si>
    <t>Maksimāla plūsma</t>
  </si>
  <si>
    <r>
      <t>ɛ</t>
    </r>
    <r>
      <rPr>
        <sz val="10.199999999999999"/>
        <color rgb="FF0000CC"/>
        <rFont val="Calibri Light"/>
        <family val="2"/>
        <charset val="204"/>
      </rPr>
      <t>v=</t>
    </r>
  </si>
  <si>
    <r>
      <t>ɛ</t>
    </r>
    <r>
      <rPr>
        <sz val="10.199999999999999"/>
        <rFont val="Calibri Light"/>
        <family val="2"/>
        <charset val="204"/>
      </rPr>
      <t>v=</t>
    </r>
  </si>
  <si>
    <t>g.v Ø</t>
  </si>
  <si>
    <t>Δx=±</t>
  </si>
  <si>
    <r>
      <t>zudumi ∑</t>
    </r>
    <r>
      <rPr>
        <sz val="10.199999999999999"/>
        <color indexed="8"/>
        <rFont val="Calibri Light"/>
        <family val="2"/>
        <charset val="204"/>
      </rPr>
      <t xml:space="preserve"> m3/h</t>
    </r>
  </si>
  <si>
    <t>Lwtot (dB)</t>
  </si>
  <si>
    <t>Lwatot (dBA)</t>
  </si>
  <si>
    <t>Ventilatora šķiмa diametrs</t>
  </si>
  <si>
    <t>Ventilators</t>
  </si>
  <si>
    <t>Stāvs</t>
  </si>
  <si>
    <t>platums</t>
  </si>
  <si>
    <t>augstums</t>
  </si>
  <si>
    <t>Nr.</t>
  </si>
  <si>
    <t>Dūmu novadīšanas sistēma DN1</t>
  </si>
  <si>
    <t xml:space="preserve">Gaisa ātrums </t>
  </si>
  <si>
    <t>Reste</t>
  </si>
  <si>
    <t>Gaisa plūsma</t>
  </si>
  <si>
    <t>K faktors</t>
  </si>
  <si>
    <t>Motors</t>
  </si>
  <si>
    <t>m³/h</t>
  </si>
  <si>
    <t>Nosūces gaisa plūsma</t>
  </si>
  <si>
    <t>Motora tips</t>
  </si>
  <si>
    <t>Darba rata apgriezienu skaits</t>
  </si>
  <si>
    <t>apgr./min</t>
  </si>
  <si>
    <t>Elektrojauda no pretestības</t>
  </si>
  <si>
    <t>Pretestība</t>
  </si>
  <si>
    <t>Motora lietderības koeficients</t>
  </si>
  <si>
    <t>ⴄ</t>
  </si>
  <si>
    <t>Ventilatora lietderības koeficients</t>
  </si>
  <si>
    <t>Patērējama jauda</t>
  </si>
  <si>
    <t xml:space="preserve"> n1=</t>
  </si>
  <si>
    <t>Pec</t>
  </si>
  <si>
    <t xml:space="preserve"> n2=</t>
  </si>
  <si>
    <t>V1=</t>
  </si>
  <si>
    <t>V2=</t>
  </si>
  <si>
    <t>Plūsma ar k-faktoru</t>
  </si>
  <si>
    <t>Apgrizienu skaits</t>
  </si>
  <si>
    <t>Jauda no pretestības</t>
  </si>
  <si>
    <t>Kopējais statiska spiediena paaugstinājums</t>
  </si>
  <si>
    <t>Sistēmas efektivitāte</t>
  </si>
  <si>
    <t xml:space="preserve">Nominālā jauda </t>
  </si>
  <si>
    <t xml:space="preserve">Nominālā strāva </t>
  </si>
  <si>
    <t xml:space="preserve">Nominālais spriegums </t>
  </si>
  <si>
    <t>V</t>
  </si>
  <si>
    <t>Frekvence (nomināla/maksimāla)</t>
  </si>
  <si>
    <t>Hz</t>
  </si>
  <si>
    <t xml:space="preserve">Maksimālais griešanās ātrums </t>
  </si>
  <si>
    <t>jumta ventilators</t>
  </si>
  <si>
    <t>PM</t>
  </si>
  <si>
    <t>3x400</t>
  </si>
  <si>
    <t>Zona numurs 1. Režīms DN. Gaisa ražība sistēmā</t>
  </si>
  <si>
    <t>Zona numurs 2. Režīms DN. Gaisa ražība sistēmā</t>
  </si>
  <si>
    <t>Zona numurs 3. Režīms DN. Gaisa ražība sistēmā</t>
  </si>
  <si>
    <t>Ventilatora parametri  (Sistēmai TFSR 125 XL SILEO BLACK)</t>
  </si>
  <si>
    <t>Maks. gaisa temp. 120 min.</t>
  </si>
  <si>
    <t>Stāvs nr. -2. Dūmu zona 1.</t>
  </si>
  <si>
    <t>Stāvs nr. -2. Dūmu zona 5.</t>
  </si>
  <si>
    <t>Ventilatora parametri  (Sistēmai DVV 560D4-XL)</t>
  </si>
  <si>
    <t xml:space="preserve">Dūmu novadīšanas sistēma DN4. </t>
  </si>
  <si>
    <t>Dūmu zona</t>
  </si>
  <si>
    <t>DN10</t>
  </si>
  <si>
    <t>DN11</t>
  </si>
  <si>
    <t>DN12</t>
  </si>
  <si>
    <t>DN13</t>
  </si>
  <si>
    <t>DN14</t>
  </si>
  <si>
    <t>DN15</t>
  </si>
  <si>
    <t>https://www.systemair.com/lv-lv/produkti/ventilatori/jumta-ventilatori/dvv/dvv?sku=9995159#tech-specs-data-technical-parameter</t>
  </si>
  <si>
    <t xml:space="preserve">Ventilatora parametri </t>
  </si>
  <si>
    <t>Sistēmair DVV 1000D4-XP/F600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</si>
</sst>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26]dddd\,\ yyyy&quot;. gada &quot;d\.\ mmmm;@"/>
    <numFmt numFmtId="165" formatCode="0.0"/>
    <numFmt numFmtId="166" formatCode="#,##0.0"/>
    <numFmt numFmtId="167" formatCode="0.000"/>
    <numFmt numFmtId="168" formatCode="#,##0.000"/>
    <numFmt numFmtId="169" formatCode="#,##0.0000"/>
    <numFmt numFmtId="170" formatCode="0.00000"/>
    <numFmt numFmtId="171" formatCode="#,##0.00000"/>
    <numFmt numFmtId="172" formatCode="#,##0.000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8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theme="1" tint="0.249977111117893"/>
      <name val="Calibri Light"/>
      <family val="2"/>
      <charset val="204"/>
    </font>
    <font>
      <sz val="12"/>
      <color rgb="FF0000CC"/>
      <name val="Calibri Light"/>
      <family val="2"/>
      <charset val="204"/>
    </font>
    <font>
      <b/>
      <sz val="12"/>
      <color indexed="8"/>
      <name val="Calibri Light"/>
      <family val="2"/>
      <charset val="204"/>
    </font>
    <font>
      <b/>
      <sz val="12"/>
      <color indexed="17"/>
      <name val="Calibri Light"/>
      <family val="2"/>
      <charset val="204"/>
    </font>
    <font>
      <b/>
      <sz val="12"/>
      <color rgb="FF0000CC"/>
      <name val="Calibri Light"/>
      <family val="2"/>
      <charset val="204"/>
    </font>
    <font>
      <sz val="12"/>
      <color indexed="18"/>
      <name val="Calibri Light"/>
      <family val="2"/>
      <charset val="204"/>
    </font>
    <font>
      <sz val="12"/>
      <color indexed="8"/>
      <name val="Calibri Light"/>
      <family val="2"/>
      <charset val="204"/>
    </font>
    <font>
      <sz val="12"/>
      <color indexed="17"/>
      <name val="Calibri Light"/>
      <family val="2"/>
      <charset val="204"/>
    </font>
    <font>
      <sz val="12"/>
      <name val="Calibri Light"/>
      <family val="2"/>
      <charset val="204"/>
    </font>
    <font>
      <sz val="12"/>
      <color indexed="10"/>
      <name val="Calibri Light"/>
      <family val="2"/>
      <charset val="204"/>
    </font>
    <font>
      <b/>
      <sz val="12"/>
      <name val="Calibri Light"/>
      <family val="2"/>
      <charset val="204"/>
    </font>
    <font>
      <sz val="10.199999999999999"/>
      <color rgb="FF0000CC"/>
      <name val="Calibri Light"/>
      <family val="2"/>
      <charset val="204"/>
    </font>
    <font>
      <sz val="10.199999999999999"/>
      <name val="Calibri Light"/>
      <family val="2"/>
      <charset val="204"/>
    </font>
    <font>
      <sz val="12"/>
      <color theme="0" tint="-0.14999847407452621"/>
      <name val="Calibri Light"/>
      <family val="2"/>
      <charset val="204"/>
    </font>
    <font>
      <b/>
      <sz val="12"/>
      <color rgb="FFC00000"/>
      <name val="Calibri Light"/>
      <family val="2"/>
      <charset val="204"/>
    </font>
    <font>
      <sz val="12"/>
      <color theme="0" tint="-0.499984740745262"/>
      <name val="Calibri Light"/>
      <family val="2"/>
      <charset val="204"/>
    </font>
    <font>
      <sz val="12"/>
      <color theme="0" tint="-4.9989318521683403E-2"/>
      <name val="Calibri Light"/>
      <family val="2"/>
      <charset val="204"/>
    </font>
    <font>
      <i/>
      <sz val="12"/>
      <color indexed="8"/>
      <name val="Calibri Light"/>
      <family val="2"/>
      <charset val="204"/>
    </font>
    <font>
      <sz val="10.199999999999999"/>
      <color indexed="8"/>
      <name val="Calibri Light"/>
      <family val="2"/>
      <charset val="204"/>
    </font>
    <font>
      <b/>
      <sz val="12"/>
      <color rgb="FF008000"/>
      <name val="Calibri Light"/>
      <family val="2"/>
      <charset val="204"/>
    </font>
    <font>
      <sz val="12"/>
      <color rgb="FF008000"/>
      <name val="Calibri Light"/>
      <family val="2"/>
      <charset val="204"/>
    </font>
    <font>
      <sz val="12"/>
      <color indexed="50"/>
      <name val="Calibri Light"/>
      <family val="2"/>
      <charset val="204"/>
    </font>
    <font>
      <sz val="12"/>
      <color theme="1"/>
      <name val="Calibri Light"/>
      <family val="2"/>
      <charset val="204"/>
    </font>
    <font>
      <sz val="12"/>
      <color theme="0" tint="-0.249977111117893"/>
      <name val="Calibri Light"/>
      <family val="2"/>
      <charset val="204"/>
    </font>
    <font>
      <sz val="11"/>
      <color theme="1"/>
      <name val="Calibri Light"/>
      <family val="2"/>
      <charset val="204"/>
    </font>
    <font>
      <sz val="11"/>
      <color theme="1" tint="0.499984740745262"/>
      <name val="Calibri Light"/>
      <family val="2"/>
      <charset val="204"/>
    </font>
    <font>
      <sz val="12"/>
      <color theme="1"/>
      <name val="Calibri"/>
      <family val="2"/>
      <charset val="204"/>
    </font>
    <font>
      <sz val="11"/>
      <color theme="1" tint="0.249977111117893"/>
      <name val="Calibri"/>
      <family val="2"/>
      <charset val="204"/>
    </font>
    <font>
      <sz val="11"/>
      <color theme="1" tint="0.34998626667073579"/>
      <name val="Calibri Light"/>
      <family val="2"/>
      <charset val="204"/>
    </font>
    <font>
      <sz val="11"/>
      <color theme="1" tint="0.34998626667073579"/>
      <name val="Calibri"/>
      <family val="2"/>
      <charset val="204"/>
    </font>
    <font>
      <sz val="11"/>
      <color rgb="FF0070C0"/>
      <name val="Calibri Light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dotted">
        <color theme="0" tint="-4.9989318521683403E-2"/>
      </bottom>
      <diagonal/>
    </border>
  </borders>
  <cellStyleXfs count="11">
    <xf numFmtId="0" fontId="0" fillId="0" borderId="0"/>
    <xf numFmtId="0" fontId="3" fillId="0" borderId="0"/>
    <xf numFmtId="164" fontId="4" fillId="0" borderId="0"/>
    <xf numFmtId="164" fontId="4" fillId="0" borderId="0"/>
    <xf numFmtId="164" fontId="6" fillId="0" borderId="0"/>
    <xf numFmtId="164" fontId="7" fillId="0" borderId="0"/>
    <xf numFmtId="164" fontId="4" fillId="0" borderId="0"/>
    <xf numFmtId="0" fontId="1" fillId="0" borderId="0"/>
    <xf numFmtId="0" fontId="7" fillId="0" borderId="0"/>
    <xf numFmtId="0" fontId="13" fillId="0" borderId="0"/>
    <xf numFmtId="0" fontId="14" fillId="0" borderId="0"/>
  </cellStyleXfs>
  <cellXfs count="223">
    <xf numFmtId="0" fontId="0" fillId="0" borderId="0" xfId="0"/>
    <xf numFmtId="0" fontId="4" fillId="2" borderId="0" xfId="2" applyNumberFormat="1" applyFill="1" applyAlignment="1">
      <alignment horizontal="center" vertical="center"/>
    </xf>
    <xf numFmtId="0" fontId="4" fillId="2" borderId="1" xfId="2" applyNumberFormat="1" applyFill="1" applyBorder="1" applyAlignment="1">
      <alignment horizontal="center" vertical="center" wrapText="1"/>
    </xf>
    <xf numFmtId="0" fontId="4" fillId="2" borderId="1" xfId="2" applyNumberFormat="1" applyFill="1" applyBorder="1" applyAlignment="1">
      <alignment horizontal="center" vertical="center"/>
    </xf>
    <xf numFmtId="0" fontId="4" fillId="2" borderId="3" xfId="2" applyNumberFormat="1" applyFill="1" applyBorder="1" applyAlignment="1">
      <alignment horizontal="center" vertical="center"/>
    </xf>
    <xf numFmtId="0" fontId="8" fillId="2" borderId="0" xfId="2" applyNumberFormat="1" applyFont="1" applyFill="1" applyAlignment="1">
      <alignment horizontal="right" vertical="center"/>
    </xf>
    <xf numFmtId="0" fontId="8" fillId="2" borderId="0" xfId="2" applyNumberFormat="1" applyFont="1" applyFill="1" applyAlignment="1">
      <alignment horizontal="left" vertical="center"/>
    </xf>
    <xf numFmtId="0" fontId="9" fillId="2" borderId="0" xfId="2" applyNumberFormat="1" applyFont="1" applyFill="1" applyAlignment="1">
      <alignment vertical="center" wrapText="1"/>
    </xf>
    <xf numFmtId="0" fontId="4" fillId="2" borderId="3" xfId="2" applyNumberFormat="1" applyFill="1" applyBorder="1" applyAlignment="1">
      <alignment horizontal="center" vertical="center" wrapText="1"/>
    </xf>
    <xf numFmtId="164" fontId="4" fillId="0" borderId="0" xfId="2"/>
    <xf numFmtId="164" fontId="4" fillId="2" borderId="0" xfId="2" applyFill="1"/>
    <xf numFmtId="4" fontId="17" fillId="2" borderId="0" xfId="6" applyNumberFormat="1" applyFont="1" applyFill="1" applyAlignment="1">
      <alignment horizontal="right"/>
    </xf>
    <xf numFmtId="3" fontId="18" fillId="2" borderId="0" xfId="6" applyNumberFormat="1" applyFont="1" applyFill="1" applyAlignment="1">
      <alignment horizontal="center"/>
    </xf>
    <xf numFmtId="166" fontId="19" fillId="2" borderId="0" xfId="6" applyNumberFormat="1" applyFont="1" applyFill="1" applyAlignment="1">
      <alignment horizontal="center"/>
    </xf>
    <xf numFmtId="166" fontId="20" fillId="2" borderId="0" xfId="3" applyNumberFormat="1" applyFont="1" applyFill="1" applyAlignment="1">
      <alignment horizontal="center"/>
    </xf>
    <xf numFmtId="4" fontId="21" fillId="2" borderId="0" xfId="6" applyNumberFormat="1" applyFont="1" applyFill="1"/>
    <xf numFmtId="3" fontId="22" fillId="2" borderId="0" xfId="6" applyNumberFormat="1" applyFont="1" applyFill="1"/>
    <xf numFmtId="4" fontId="22" fillId="2" borderId="0" xfId="6" applyNumberFormat="1" applyFont="1" applyFill="1"/>
    <xf numFmtId="166" fontId="22" fillId="2" borderId="0" xfId="6" applyNumberFormat="1" applyFont="1" applyFill="1"/>
    <xf numFmtId="3" fontId="16" fillId="2" borderId="0" xfId="6" applyNumberFormat="1" applyFont="1" applyFill="1"/>
    <xf numFmtId="4" fontId="23" fillId="2" borderId="0" xfId="6" applyNumberFormat="1" applyFont="1" applyFill="1"/>
    <xf numFmtId="4" fontId="24" fillId="2" borderId="0" xfId="6" applyNumberFormat="1" applyFont="1" applyFill="1"/>
    <xf numFmtId="166" fontId="16" fillId="2" borderId="0" xfId="6" applyNumberFormat="1" applyFont="1" applyFill="1"/>
    <xf numFmtId="168" fontId="16" fillId="2" borderId="0" xfId="6" applyNumberFormat="1" applyFont="1" applyFill="1"/>
    <xf numFmtId="168" fontId="22" fillId="2" borderId="0" xfId="6" applyNumberFormat="1" applyFont="1" applyFill="1"/>
    <xf numFmtId="169" fontId="16" fillId="2" borderId="0" xfId="6" applyNumberFormat="1" applyFont="1" applyFill="1"/>
    <xf numFmtId="4" fontId="16" fillId="2" borderId="0" xfId="6" applyNumberFormat="1" applyFont="1" applyFill="1"/>
    <xf numFmtId="169" fontId="24" fillId="2" borderId="0" xfId="6" applyNumberFormat="1" applyFont="1" applyFill="1"/>
    <xf numFmtId="4" fontId="21" fillId="2" borderId="10" xfId="6" applyNumberFormat="1" applyFont="1" applyFill="1" applyBorder="1"/>
    <xf numFmtId="164" fontId="25" fillId="2" borderId="0" xfId="6" applyFont="1" applyFill="1"/>
    <xf numFmtId="164" fontId="21" fillId="2" borderId="0" xfId="6" applyFont="1" applyFill="1" applyAlignment="1">
      <alignment horizontal="right"/>
    </xf>
    <xf numFmtId="4" fontId="21" fillId="2" borderId="0" xfId="6" applyNumberFormat="1" applyFont="1" applyFill="1" applyAlignment="1">
      <alignment horizontal="center"/>
    </xf>
    <xf numFmtId="164" fontId="21" fillId="2" borderId="0" xfId="6" applyFont="1" applyFill="1"/>
    <xf numFmtId="164" fontId="23" fillId="2" borderId="0" xfId="6" applyFont="1" applyFill="1"/>
    <xf numFmtId="164" fontId="23" fillId="2" borderId="0" xfId="6" applyFont="1" applyFill="1" applyAlignment="1">
      <alignment horizontal="right"/>
    </xf>
    <xf numFmtId="166" fontId="22" fillId="2" borderId="0" xfId="6" applyNumberFormat="1" applyFont="1" applyFill="1" applyAlignment="1">
      <alignment horizontal="center"/>
    </xf>
    <xf numFmtId="168" fontId="16" fillId="2" borderId="0" xfId="3" applyNumberFormat="1" applyFont="1" applyFill="1" applyAlignment="1">
      <alignment horizontal="center"/>
    </xf>
    <xf numFmtId="4" fontId="16" fillId="2" borderId="0" xfId="6" applyNumberFormat="1" applyFont="1" applyFill="1" applyAlignment="1">
      <alignment horizontal="center"/>
    </xf>
    <xf numFmtId="164" fontId="16" fillId="2" borderId="0" xfId="3" applyFont="1" applyFill="1" applyAlignment="1">
      <alignment horizontal="right"/>
    </xf>
    <xf numFmtId="166" fontId="16" fillId="2" borderId="0" xfId="3" applyNumberFormat="1" applyFont="1" applyFill="1" applyAlignment="1">
      <alignment horizontal="center"/>
    </xf>
    <xf numFmtId="164" fontId="16" fillId="2" borderId="0" xfId="3" applyFont="1" applyFill="1"/>
    <xf numFmtId="4" fontId="22" fillId="2" borderId="0" xfId="6" applyNumberFormat="1" applyFont="1" applyFill="1" applyAlignment="1">
      <alignment horizontal="center"/>
    </xf>
    <xf numFmtId="3" fontId="22" fillId="2" borderId="0" xfId="6" applyNumberFormat="1" applyFont="1" applyFill="1" applyAlignment="1">
      <alignment horizontal="center"/>
    </xf>
    <xf numFmtId="168" fontId="16" fillId="2" borderId="0" xfId="6" applyNumberFormat="1" applyFont="1" applyFill="1" applyAlignment="1">
      <alignment horizontal="center"/>
    </xf>
    <xf numFmtId="3" fontId="16" fillId="2" borderId="0" xfId="3" applyNumberFormat="1" applyFont="1" applyFill="1" applyAlignment="1">
      <alignment horizontal="center"/>
    </xf>
    <xf numFmtId="4" fontId="17" fillId="2" borderId="0" xfId="6" applyNumberFormat="1" applyFont="1" applyFill="1"/>
    <xf numFmtId="3" fontId="21" fillId="2" borderId="0" xfId="6" applyNumberFormat="1" applyFont="1" applyFill="1" applyAlignment="1">
      <alignment horizontal="center"/>
    </xf>
    <xf numFmtId="4" fontId="21" fillId="2" borderId="0" xfId="6" applyNumberFormat="1" applyFont="1" applyFill="1" applyAlignment="1">
      <alignment horizontal="right"/>
    </xf>
    <xf numFmtId="166" fontId="16" fillId="2" borderId="0" xfId="6" applyNumberFormat="1" applyFont="1" applyFill="1" applyAlignment="1">
      <alignment horizontal="center"/>
    </xf>
    <xf numFmtId="166" fontId="24" fillId="2" borderId="0" xfId="6" applyNumberFormat="1" applyFont="1" applyFill="1" applyAlignment="1">
      <alignment horizontal="center"/>
    </xf>
    <xf numFmtId="3" fontId="16" fillId="2" borderId="0" xfId="6" applyNumberFormat="1" applyFont="1" applyFill="1" applyAlignment="1">
      <alignment horizontal="center"/>
    </xf>
    <xf numFmtId="4" fontId="21" fillId="2" borderId="9" xfId="6" applyNumberFormat="1" applyFont="1" applyFill="1" applyBorder="1"/>
    <xf numFmtId="169" fontId="16" fillId="2" borderId="0" xfId="6" applyNumberFormat="1" applyFont="1" applyFill="1" applyAlignment="1">
      <alignment horizontal="center"/>
    </xf>
    <xf numFmtId="3" fontId="28" fillId="2" borderId="0" xfId="6" applyNumberFormat="1" applyFont="1" applyFill="1" applyAlignment="1">
      <alignment horizontal="center"/>
    </xf>
    <xf numFmtId="164" fontId="21" fillId="2" borderId="10" xfId="3" applyFont="1" applyFill="1" applyBorder="1"/>
    <xf numFmtId="164" fontId="21" fillId="2" borderId="10" xfId="3" applyFont="1" applyFill="1" applyBorder="1" applyAlignment="1">
      <alignment horizontal="right"/>
    </xf>
    <xf numFmtId="3" fontId="21" fillId="2" borderId="10" xfId="3" applyNumberFormat="1" applyFont="1" applyFill="1" applyBorder="1" applyAlignment="1">
      <alignment horizontal="center"/>
    </xf>
    <xf numFmtId="164" fontId="21" fillId="2" borderId="10" xfId="3" applyFont="1" applyFill="1" applyBorder="1" applyAlignment="1">
      <alignment horizontal="left"/>
    </xf>
    <xf numFmtId="164" fontId="21" fillId="2" borderId="0" xfId="3" applyFont="1" applyFill="1"/>
    <xf numFmtId="164" fontId="29" fillId="2" borderId="0" xfId="3" applyFont="1" applyFill="1"/>
    <xf numFmtId="166" fontId="21" fillId="2" borderId="0" xfId="6" applyNumberFormat="1" applyFont="1" applyFill="1"/>
    <xf numFmtId="3" fontId="22" fillId="2" borderId="0" xfId="3" applyNumberFormat="1" applyFont="1" applyFill="1" applyAlignment="1">
      <alignment horizontal="center"/>
    </xf>
    <xf numFmtId="3" fontId="21" fillId="2" borderId="0" xfId="6" applyNumberFormat="1" applyFont="1" applyFill="1"/>
    <xf numFmtId="166" fontId="22" fillId="2" borderId="0" xfId="3" applyNumberFormat="1" applyFont="1" applyFill="1" applyAlignment="1">
      <alignment horizontal="center"/>
    </xf>
    <xf numFmtId="4" fontId="16" fillId="2" borderId="0" xfId="3" applyNumberFormat="1" applyFont="1" applyFill="1" applyAlignment="1">
      <alignment horizontal="center"/>
    </xf>
    <xf numFmtId="4" fontId="30" fillId="2" borderId="0" xfId="6" applyNumberFormat="1" applyFont="1" applyFill="1" applyAlignment="1">
      <alignment horizontal="center"/>
    </xf>
    <xf numFmtId="3" fontId="31" fillId="2" borderId="0" xfId="6" applyNumberFormat="1" applyFont="1" applyFill="1" applyAlignment="1">
      <alignment horizontal="center"/>
    </xf>
    <xf numFmtId="4" fontId="30" fillId="2" borderId="11" xfId="6" applyNumberFormat="1" applyFont="1" applyFill="1" applyBorder="1"/>
    <xf numFmtId="3" fontId="30" fillId="2" borderId="11" xfId="6" applyNumberFormat="1" applyFont="1" applyFill="1" applyBorder="1" applyAlignment="1">
      <alignment horizontal="center"/>
    </xf>
    <xf numFmtId="4" fontId="21" fillId="2" borderId="11" xfId="6" applyNumberFormat="1" applyFont="1" applyFill="1" applyBorder="1"/>
    <xf numFmtId="166" fontId="22" fillId="2" borderId="11" xfId="3" applyNumberFormat="1" applyFont="1" applyFill="1" applyBorder="1" applyAlignment="1">
      <alignment horizontal="center"/>
    </xf>
    <xf numFmtId="4" fontId="31" fillId="2" borderId="0" xfId="6" applyNumberFormat="1" applyFont="1" applyFill="1" applyAlignment="1">
      <alignment horizontal="center"/>
    </xf>
    <xf numFmtId="168" fontId="22" fillId="2" borderId="0" xfId="3" applyNumberFormat="1" applyFont="1" applyFill="1" applyAlignment="1">
      <alignment horizontal="center"/>
    </xf>
    <xf numFmtId="164" fontId="17" fillId="2" borderId="0" xfId="3" applyFont="1" applyFill="1"/>
    <xf numFmtId="4" fontId="32" fillId="2" borderId="0" xfId="6" applyNumberFormat="1" applyFont="1" applyFill="1"/>
    <xf numFmtId="4" fontId="16" fillId="2" borderId="0" xfId="6" applyNumberFormat="1" applyFont="1" applyFill="1" applyAlignment="1">
      <alignment horizontal="right"/>
    </xf>
    <xf numFmtId="4" fontId="23" fillId="2" borderId="0" xfId="6" applyNumberFormat="1" applyFont="1" applyFill="1" applyAlignment="1">
      <alignment horizontal="right"/>
    </xf>
    <xf numFmtId="4" fontId="22" fillId="2" borderId="0" xfId="3" applyNumberFormat="1" applyFont="1" applyFill="1" applyAlignment="1">
      <alignment horizontal="center"/>
    </xf>
    <xf numFmtId="4" fontId="16" fillId="2" borderId="0" xfId="6" applyNumberFormat="1" applyFont="1" applyFill="1" applyAlignment="1">
      <alignment horizontal="left"/>
    </xf>
    <xf numFmtId="4" fontId="17" fillId="2" borderId="11" xfId="6" applyNumberFormat="1" applyFont="1" applyFill="1" applyBorder="1" applyAlignment="1">
      <alignment horizontal="center" vertical="center"/>
    </xf>
    <xf numFmtId="4" fontId="21" fillId="2" borderId="11" xfId="6" applyNumberFormat="1" applyFont="1" applyFill="1" applyBorder="1" applyAlignment="1">
      <alignment horizontal="center" vertical="center"/>
    </xf>
    <xf numFmtId="3" fontId="18" fillId="3" borderId="0" xfId="3" applyNumberFormat="1" applyFont="1" applyFill="1" applyAlignment="1">
      <alignment horizontal="center"/>
    </xf>
    <xf numFmtId="166" fontId="21" fillId="2" borderId="11" xfId="6" applyNumberFormat="1" applyFont="1" applyFill="1" applyBorder="1" applyAlignment="1">
      <alignment horizontal="center" vertical="center"/>
    </xf>
    <xf numFmtId="3" fontId="21" fillId="2" borderId="11" xfId="6" applyNumberFormat="1" applyFont="1" applyFill="1" applyBorder="1" applyAlignment="1">
      <alignment horizontal="center" vertical="center"/>
    </xf>
    <xf numFmtId="166" fontId="21" fillId="2" borderId="11" xfId="6" applyNumberFormat="1" applyFont="1" applyFill="1" applyBorder="1" applyAlignment="1">
      <alignment horizontal="center"/>
    </xf>
    <xf numFmtId="3" fontId="21" fillId="2" borderId="11" xfId="6" applyNumberFormat="1" applyFont="1" applyFill="1" applyBorder="1" applyAlignment="1">
      <alignment horizontal="center"/>
    </xf>
    <xf numFmtId="164" fontId="16" fillId="2" borderId="0" xfId="6" applyFont="1" applyFill="1"/>
    <xf numFmtId="164" fontId="34" fillId="2" borderId="11" xfId="4" applyFont="1" applyFill="1" applyBorder="1" applyAlignment="1">
      <alignment horizontal="center" vertical="center" wrapText="1"/>
    </xf>
    <xf numFmtId="0" fontId="34" fillId="2" borderId="11" xfId="4" applyNumberFormat="1" applyFont="1" applyFill="1" applyBorder="1" applyAlignment="1">
      <alignment horizontal="center" vertical="center" wrapText="1"/>
    </xf>
    <xf numFmtId="2" fontId="19" fillId="2" borderId="11" xfId="4" applyNumberFormat="1" applyFont="1" applyFill="1" applyBorder="1" applyAlignment="1">
      <alignment horizontal="center" vertical="center" wrapText="1"/>
    </xf>
    <xf numFmtId="1" fontId="19" fillId="2" borderId="11" xfId="4" applyNumberFormat="1" applyFont="1" applyFill="1" applyBorder="1" applyAlignment="1">
      <alignment horizontal="center" vertical="center" wrapText="1"/>
    </xf>
    <xf numFmtId="170" fontId="19" fillId="2" borderId="11" xfId="4" applyNumberFormat="1" applyFont="1" applyFill="1" applyBorder="1" applyAlignment="1">
      <alignment horizontal="center" vertical="center" wrapText="1"/>
    </xf>
    <xf numFmtId="2" fontId="34" fillId="2" borderId="11" xfId="4" applyNumberFormat="1" applyFont="1" applyFill="1" applyBorder="1" applyAlignment="1">
      <alignment horizontal="center" vertical="center" wrapText="1"/>
    </xf>
    <xf numFmtId="164" fontId="19" fillId="2" borderId="11" xfId="4" applyFont="1" applyFill="1" applyBorder="1" applyAlignment="1">
      <alignment horizontal="center" vertical="center" wrapText="1"/>
    </xf>
    <xf numFmtId="4" fontId="19" fillId="2" borderId="11" xfId="4" applyNumberFormat="1" applyFont="1" applyFill="1" applyBorder="1" applyAlignment="1">
      <alignment horizontal="center" vertical="center" wrapText="1"/>
    </xf>
    <xf numFmtId="3" fontId="35" fillId="2" borderId="11" xfId="3" applyNumberFormat="1" applyFont="1" applyFill="1" applyBorder="1" applyAlignment="1">
      <alignment horizontal="center"/>
    </xf>
    <xf numFmtId="4" fontId="16" fillId="2" borderId="11" xfId="3" applyNumberFormat="1" applyFont="1" applyFill="1" applyBorder="1" applyAlignment="1">
      <alignment horizontal="center"/>
    </xf>
    <xf numFmtId="2" fontId="16" fillId="2" borderId="11" xfId="4" applyNumberFormat="1" applyFont="1" applyFill="1" applyBorder="1" applyAlignment="1">
      <alignment horizontal="center"/>
    </xf>
    <xf numFmtId="3" fontId="16" fillId="2" borderId="11" xfId="4" applyNumberFormat="1" applyFont="1" applyFill="1" applyBorder="1" applyAlignment="1">
      <alignment horizontal="center"/>
    </xf>
    <xf numFmtId="171" fontId="21" fillId="2" borderId="0" xfId="6" applyNumberFormat="1" applyFont="1" applyFill="1"/>
    <xf numFmtId="0" fontId="21" fillId="2" borderId="0" xfId="6" applyNumberFormat="1" applyFont="1" applyFill="1" applyAlignment="1">
      <alignment horizontal="center"/>
    </xf>
    <xf numFmtId="0" fontId="35" fillId="2" borderId="11" xfId="4" applyNumberFormat="1" applyFont="1" applyFill="1" applyBorder="1" applyAlignment="1">
      <alignment horizontal="center"/>
    </xf>
    <xf numFmtId="1" fontId="16" fillId="2" borderId="11" xfId="4" applyNumberFormat="1" applyFont="1" applyFill="1" applyBorder="1" applyAlignment="1">
      <alignment horizontal="center"/>
    </xf>
    <xf numFmtId="167" fontId="16" fillId="2" borderId="11" xfId="4" applyNumberFormat="1" applyFont="1" applyFill="1" applyBorder="1" applyAlignment="1">
      <alignment horizontal="center"/>
    </xf>
    <xf numFmtId="1" fontId="34" fillId="2" borderId="11" xfId="4" applyNumberFormat="1" applyFont="1" applyFill="1" applyBorder="1" applyAlignment="1">
      <alignment horizontal="center" vertical="center" wrapText="1"/>
    </xf>
    <xf numFmtId="167" fontId="19" fillId="2" borderId="11" xfId="4" applyNumberFormat="1" applyFont="1" applyFill="1" applyBorder="1" applyAlignment="1">
      <alignment horizontal="center" vertical="center" wrapText="1"/>
    </xf>
    <xf numFmtId="4" fontId="16" fillId="2" borderId="11" xfId="4" applyNumberFormat="1" applyFont="1" applyFill="1" applyBorder="1" applyAlignment="1">
      <alignment horizontal="center"/>
    </xf>
    <xf numFmtId="4" fontId="35" fillId="2" borderId="0" xfId="6" applyNumberFormat="1" applyFont="1" applyFill="1"/>
    <xf numFmtId="2" fontId="35" fillId="2" borderId="11" xfId="4" applyNumberFormat="1" applyFont="1" applyFill="1" applyBorder="1" applyAlignment="1">
      <alignment horizontal="center"/>
    </xf>
    <xf numFmtId="3" fontId="34" fillId="2" borderId="11" xfId="3" applyNumberFormat="1" applyFont="1" applyFill="1" applyBorder="1" applyAlignment="1">
      <alignment horizontal="center" vertical="center"/>
    </xf>
    <xf numFmtId="4" fontId="19" fillId="2" borderId="11" xfId="3" applyNumberFormat="1" applyFont="1" applyFill="1" applyBorder="1" applyAlignment="1">
      <alignment horizontal="center" vertical="center"/>
    </xf>
    <xf numFmtId="3" fontId="19" fillId="2" borderId="11" xfId="3" applyNumberFormat="1" applyFont="1" applyFill="1" applyBorder="1" applyAlignment="1">
      <alignment horizontal="center" vertical="center"/>
    </xf>
    <xf numFmtId="4" fontId="34" fillId="2" borderId="11" xfId="3" applyNumberFormat="1" applyFont="1" applyFill="1" applyBorder="1" applyAlignment="1">
      <alignment horizontal="center" vertical="center"/>
    </xf>
    <xf numFmtId="2" fontId="16" fillId="2" borderId="11" xfId="3" applyNumberFormat="1" applyFont="1" applyFill="1" applyBorder="1" applyAlignment="1">
      <alignment horizontal="center"/>
    </xf>
    <xf numFmtId="170" fontId="16" fillId="2" borderId="11" xfId="3" applyNumberFormat="1" applyFont="1" applyFill="1" applyBorder="1" applyAlignment="1">
      <alignment horizontal="center"/>
    </xf>
    <xf numFmtId="3" fontId="16" fillId="2" borderId="11" xfId="3" applyNumberFormat="1" applyFont="1" applyFill="1" applyBorder="1" applyAlignment="1">
      <alignment horizontal="center"/>
    </xf>
    <xf numFmtId="4" fontId="36" fillId="2" borderId="11" xfId="3" applyNumberFormat="1" applyFont="1" applyFill="1" applyBorder="1" applyAlignment="1">
      <alignment horizontal="center"/>
    </xf>
    <xf numFmtId="4" fontId="36" fillId="2" borderId="0" xfId="3" applyNumberFormat="1" applyFont="1" applyFill="1" applyAlignment="1">
      <alignment horizontal="center"/>
    </xf>
    <xf numFmtId="4" fontId="35" fillId="2" borderId="11" xfId="3" applyNumberFormat="1" applyFont="1" applyFill="1" applyBorder="1" applyAlignment="1">
      <alignment horizontal="center"/>
    </xf>
    <xf numFmtId="169" fontId="35" fillId="2" borderId="11" xfId="3" applyNumberFormat="1" applyFont="1" applyFill="1" applyBorder="1" applyAlignment="1">
      <alignment horizontal="center"/>
    </xf>
    <xf numFmtId="2" fontId="35" fillId="2" borderId="11" xfId="3" applyNumberFormat="1" applyFont="1" applyFill="1" applyBorder="1" applyAlignment="1">
      <alignment horizontal="center"/>
    </xf>
    <xf numFmtId="172" fontId="21" fillId="2" borderId="0" xfId="6" applyNumberFormat="1" applyFont="1" applyFill="1"/>
    <xf numFmtId="165" fontId="16" fillId="2" borderId="11" xfId="4" applyNumberFormat="1" applyFont="1" applyFill="1" applyBorder="1" applyAlignment="1">
      <alignment horizontal="center"/>
    </xf>
    <xf numFmtId="171" fontId="16" fillId="2" borderId="11" xfId="3" applyNumberFormat="1" applyFont="1" applyFill="1" applyBorder="1" applyAlignment="1">
      <alignment horizontal="center"/>
    </xf>
    <xf numFmtId="4" fontId="38" fillId="2" borderId="0" xfId="6" applyNumberFormat="1" applyFont="1" applyFill="1" applyAlignment="1">
      <alignment horizontal="center"/>
    </xf>
    <xf numFmtId="3" fontId="39" fillId="2" borderId="0" xfId="0" applyNumberFormat="1" applyFont="1" applyFill="1" applyAlignment="1">
      <alignment horizontal="center" wrapText="1"/>
    </xf>
    <xf numFmtId="3" fontId="39" fillId="2" borderId="0" xfId="0" applyNumberFormat="1" applyFont="1" applyFill="1" applyAlignment="1">
      <alignment horizontal="center" vertical="center" wrapText="1"/>
    </xf>
    <xf numFmtId="3" fontId="39" fillId="2" borderId="11" xfId="0" applyNumberFormat="1" applyFont="1" applyFill="1" applyBorder="1" applyAlignment="1">
      <alignment horizontal="center" wrapText="1"/>
    </xf>
    <xf numFmtId="166" fontId="39" fillId="2" borderId="11" xfId="0" applyNumberFormat="1" applyFont="1" applyFill="1" applyBorder="1" applyAlignment="1">
      <alignment horizontal="center" wrapText="1"/>
    </xf>
    <xf numFmtId="3" fontId="39" fillId="2" borderId="0" xfId="0" applyNumberFormat="1" applyFont="1" applyFill="1" applyAlignment="1">
      <alignment horizontal="right" wrapText="1"/>
    </xf>
    <xf numFmtId="3" fontId="39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1" fillId="0" borderId="0" xfId="0" applyFont="1" applyAlignment="1">
      <alignment horizontal="centerContinuous" vertical="center"/>
    </xf>
    <xf numFmtId="3" fontId="39" fillId="2" borderId="0" xfId="0" applyNumberFormat="1" applyFont="1" applyFill="1" applyAlignment="1">
      <alignment horizontal="centerContinuous" vertical="center" wrapText="1"/>
    </xf>
    <xf numFmtId="3" fontId="39" fillId="2" borderId="15" xfId="0" applyNumberFormat="1" applyFont="1" applyFill="1" applyBorder="1" applyAlignment="1">
      <alignment horizontal="center" wrapText="1"/>
    </xf>
    <xf numFmtId="3" fontId="39" fillId="2" borderId="2" xfId="0" quotePrefix="1" applyNumberFormat="1" applyFont="1" applyFill="1" applyBorder="1" applyAlignment="1">
      <alignment vertical="center" wrapText="1"/>
    </xf>
    <xf numFmtId="3" fontId="39" fillId="2" borderId="2" xfId="0" applyNumberFormat="1" applyFont="1" applyFill="1" applyBorder="1" applyAlignment="1">
      <alignment vertical="center" wrapText="1"/>
    </xf>
    <xf numFmtId="168" fontId="39" fillId="2" borderId="2" xfId="0" applyNumberFormat="1" applyFont="1" applyFill="1" applyBorder="1" applyAlignment="1">
      <alignment vertical="center" wrapText="1"/>
    </xf>
    <xf numFmtId="3" fontId="41" fillId="2" borderId="0" xfId="0" applyNumberFormat="1" applyFont="1" applyFill="1" applyAlignment="1">
      <alignment horizontal="left"/>
    </xf>
    <xf numFmtId="3" fontId="39" fillId="2" borderId="11" xfId="0" applyNumberFormat="1" applyFont="1" applyFill="1" applyBorder="1" applyAlignment="1">
      <alignment horizontal="center" vertical="center" wrapText="1"/>
    </xf>
    <xf numFmtId="3" fontId="39" fillId="2" borderId="13" xfId="0" applyNumberFormat="1" applyFont="1" applyFill="1" applyBorder="1" applyAlignment="1">
      <alignment horizontal="centerContinuous" vertical="center" wrapText="1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2" fillId="0" borderId="0" xfId="0" applyFont="1" applyAlignment="1">
      <alignment horizontal="centerContinuous" vertical="center"/>
    </xf>
    <xf numFmtId="0" fontId="40" fillId="0" borderId="0" xfId="0" applyFont="1" applyAlignment="1">
      <alignment horizontal="left" vertical="center"/>
    </xf>
    <xf numFmtId="4" fontId="40" fillId="2" borderId="0" xfId="6" applyNumberFormat="1" applyFont="1" applyFill="1"/>
    <xf numFmtId="4" fontId="40" fillId="2" borderId="0" xfId="6" applyNumberFormat="1" applyFont="1" applyFill="1" applyAlignment="1">
      <alignment horizontal="right"/>
    </xf>
    <xf numFmtId="3" fontId="40" fillId="2" borderId="0" xfId="6" applyNumberFormat="1" applyFont="1" applyFill="1" applyAlignment="1">
      <alignment horizontal="center"/>
    </xf>
    <xf numFmtId="0" fontId="37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3" fontId="45" fillId="2" borderId="0" xfId="6" applyNumberFormat="1" applyFont="1" applyFill="1" applyAlignment="1">
      <alignment horizontal="center"/>
    </xf>
    <xf numFmtId="3" fontId="45" fillId="2" borderId="0" xfId="3" applyNumberFormat="1" applyFont="1" applyFill="1" applyAlignment="1">
      <alignment horizontal="center"/>
    </xf>
    <xf numFmtId="3" fontId="40" fillId="2" borderId="0" xfId="6" applyNumberFormat="1" applyFont="1" applyFill="1"/>
    <xf numFmtId="3" fontId="45" fillId="2" borderId="0" xfId="6" applyNumberFormat="1" applyFont="1" applyFill="1"/>
    <xf numFmtId="4" fontId="5" fillId="2" borderId="0" xfId="6" applyNumberFormat="1" applyFont="1" applyFill="1" applyAlignment="1">
      <alignment horizontal="right"/>
    </xf>
    <xf numFmtId="0" fontId="43" fillId="0" borderId="18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166" fontId="40" fillId="2" borderId="0" xfId="6" applyNumberFormat="1" applyFont="1" applyFill="1" applyAlignment="1">
      <alignment horizontal="center"/>
    </xf>
    <xf numFmtId="4" fontId="40" fillId="2" borderId="0" xfId="6" applyNumberFormat="1" applyFont="1" applyFill="1" applyAlignment="1">
      <alignment horizontal="center"/>
    </xf>
    <xf numFmtId="4" fontId="45" fillId="2" borderId="0" xfId="6" applyNumberFormat="1" applyFont="1" applyFill="1" applyAlignment="1">
      <alignment horizontal="center"/>
    </xf>
    <xf numFmtId="0" fontId="39" fillId="0" borderId="0" xfId="0" applyFont="1" applyAlignment="1">
      <alignment horizontal="center" vertical="center"/>
    </xf>
    <xf numFmtId="3" fontId="45" fillId="2" borderId="0" xfId="3" applyNumberFormat="1" applyFont="1" applyFill="1" applyAlignment="1">
      <alignment horizontal="right"/>
    </xf>
    <xf numFmtId="3" fontId="40" fillId="2" borderId="0" xfId="6" applyNumberFormat="1" applyFont="1" applyFill="1" applyAlignment="1">
      <alignment horizontal="right"/>
    </xf>
    <xf numFmtId="3" fontId="40" fillId="2" borderId="0" xfId="6" applyNumberFormat="1" applyFont="1" applyFill="1" applyAlignment="1">
      <alignment horizontal="left"/>
    </xf>
    <xf numFmtId="4" fontId="40" fillId="2" borderId="4" xfId="6" applyNumberFormat="1" applyFont="1" applyFill="1" applyBorder="1" applyAlignment="1">
      <alignment horizontal="left" indent="1"/>
    </xf>
    <xf numFmtId="0" fontId="39" fillId="0" borderId="4" xfId="0" applyFont="1" applyBorder="1" applyAlignment="1">
      <alignment horizontal="left" vertical="center" indent="1"/>
    </xf>
    <xf numFmtId="3" fontId="3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41" fillId="0" borderId="0" xfId="0" applyNumberFormat="1" applyFont="1" applyAlignment="1">
      <alignment horizontal="centerContinuous" vertical="center"/>
    </xf>
    <xf numFmtId="3" fontId="2" fillId="0" borderId="0" xfId="0" applyNumberFormat="1" applyFont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3" fontId="39" fillId="0" borderId="18" xfId="0" applyNumberFormat="1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3" fontId="39" fillId="0" borderId="19" xfId="0" applyNumberFormat="1" applyFont="1" applyBorder="1" applyAlignment="1">
      <alignment horizontal="center" vertical="center"/>
    </xf>
    <xf numFmtId="166" fontId="39" fillId="0" borderId="19" xfId="0" applyNumberFormat="1" applyFont="1" applyBorder="1" applyAlignment="1">
      <alignment horizontal="center" vertical="center"/>
    </xf>
    <xf numFmtId="4" fontId="39" fillId="0" borderId="19" xfId="0" applyNumberFormat="1" applyFont="1" applyBorder="1" applyAlignment="1">
      <alignment horizontal="center" vertical="center"/>
    </xf>
    <xf numFmtId="4" fontId="40" fillId="2" borderId="0" xfId="6" applyNumberFormat="1" applyFont="1" applyFill="1" applyAlignment="1">
      <alignment horizontal="left" indent="1"/>
    </xf>
    <xf numFmtId="1" fontId="15" fillId="0" borderId="19" xfId="0" applyNumberFormat="1" applyFont="1" applyBorder="1" applyAlignment="1">
      <alignment horizontal="center" vertical="center"/>
    </xf>
    <xf numFmtId="3" fontId="39" fillId="2" borderId="0" xfId="0" applyNumberFormat="1" applyFont="1" applyFill="1" applyAlignment="1">
      <alignment vertical="center" wrapText="1"/>
    </xf>
    <xf numFmtId="3" fontId="43" fillId="2" borderId="11" xfId="0" applyNumberFormat="1" applyFont="1" applyFill="1" applyBorder="1" applyAlignment="1">
      <alignment horizontal="center" vertical="center" wrapText="1"/>
    </xf>
    <xf numFmtId="3" fontId="43" fillId="2" borderId="12" xfId="0" applyNumberFormat="1" applyFont="1" applyFill="1" applyBorder="1" applyAlignment="1">
      <alignment horizontal="centerContinuous" vertical="center" wrapText="1"/>
    </xf>
    <xf numFmtId="3" fontId="43" fillId="2" borderId="14" xfId="0" applyNumberFormat="1" applyFont="1" applyFill="1" applyBorder="1" applyAlignment="1">
      <alignment horizontal="centerContinuous" vertical="center" wrapText="1"/>
    </xf>
    <xf numFmtId="3" fontId="43" fillId="2" borderId="11" xfId="0" quotePrefix="1" applyNumberFormat="1" applyFont="1" applyFill="1" applyBorder="1" applyAlignment="1">
      <alignment horizontal="center" wrapText="1"/>
    </xf>
    <xf numFmtId="3" fontId="43" fillId="2" borderId="15" xfId="0" quotePrefix="1" applyNumberFormat="1" applyFont="1" applyFill="1" applyBorder="1" applyAlignment="1">
      <alignment horizontal="center" vertical="center" wrapText="1"/>
    </xf>
    <xf numFmtId="3" fontId="43" fillId="2" borderId="11" xfId="0" applyNumberFormat="1" applyFont="1" applyFill="1" applyBorder="1" applyAlignment="1">
      <alignment horizontal="center" wrapText="1"/>
    </xf>
    <xf numFmtId="168" fontId="43" fillId="2" borderId="11" xfId="0" applyNumberFormat="1" applyFont="1" applyFill="1" applyBorder="1" applyAlignment="1">
      <alignment horizontal="center" wrapText="1"/>
    </xf>
    <xf numFmtId="3" fontId="43" fillId="2" borderId="15" xfId="0" applyNumberFormat="1" applyFont="1" applyFill="1" applyBorder="1" applyAlignment="1">
      <alignment horizontal="center" wrapText="1"/>
    </xf>
    <xf numFmtId="3" fontId="39" fillId="2" borderId="0" xfId="0" quotePrefix="1" applyNumberFormat="1" applyFont="1" applyFill="1" applyAlignment="1">
      <alignment vertical="center" wrapText="1"/>
    </xf>
    <xf numFmtId="168" fontId="39" fillId="2" borderId="0" xfId="0" applyNumberFormat="1" applyFont="1" applyFill="1" applyAlignment="1">
      <alignment vertical="center" wrapText="1"/>
    </xf>
    <xf numFmtId="3" fontId="39" fillId="2" borderId="0" xfId="0" applyNumberFormat="1" applyFont="1" applyFill="1" applyAlignment="1">
      <alignment horizontal="left" vertical="center" wrapText="1"/>
    </xf>
    <xf numFmtId="3" fontId="39" fillId="2" borderId="11" xfId="0" quotePrefix="1" applyNumberFormat="1" applyFont="1" applyFill="1" applyBorder="1" applyAlignment="1">
      <alignment horizontal="center" wrapText="1"/>
    </xf>
    <xf numFmtId="3" fontId="39" fillId="2" borderId="2" xfId="0" quotePrefix="1" applyNumberFormat="1" applyFont="1" applyFill="1" applyBorder="1" applyAlignment="1">
      <alignment wrapText="1"/>
    </xf>
    <xf numFmtId="3" fontId="39" fillId="2" borderId="2" xfId="0" applyNumberFormat="1" applyFont="1" applyFill="1" applyBorder="1" applyAlignment="1">
      <alignment wrapText="1"/>
    </xf>
    <xf numFmtId="168" fontId="39" fillId="2" borderId="2" xfId="0" applyNumberFormat="1" applyFont="1" applyFill="1" applyBorder="1" applyAlignment="1">
      <alignment wrapText="1"/>
    </xf>
    <xf numFmtId="165" fontId="15" fillId="0" borderId="19" xfId="0" applyNumberFormat="1" applyFont="1" applyBorder="1" applyAlignment="1">
      <alignment horizontal="center" vertical="center"/>
    </xf>
    <xf numFmtId="0" fontId="39" fillId="0" borderId="0" xfId="0" applyFont="1"/>
    <xf numFmtId="3" fontId="39" fillId="2" borderId="0" xfId="0" applyNumberFormat="1" applyFont="1" applyFill="1" applyAlignment="1" applyProtection="1">
      <alignment horizontal="right" vertical="center" wrapText="1"/>
      <protection locked="0"/>
    </xf>
    <xf numFmtId="3" fontId="39" fillId="2" borderId="15" xfId="0" applyNumberFormat="1" applyFont="1" applyFill="1" applyBorder="1" applyAlignment="1">
      <alignment horizontal="center" vertical="center" wrapText="1"/>
    </xf>
    <xf numFmtId="3" fontId="39" fillId="2" borderId="16" xfId="0" applyNumberFormat="1" applyFont="1" applyFill="1" applyBorder="1" applyAlignment="1">
      <alignment horizontal="center" vertical="center" wrapText="1"/>
    </xf>
    <xf numFmtId="3" fontId="43" fillId="2" borderId="15" xfId="0" applyNumberFormat="1" applyFont="1" applyFill="1" applyBorder="1" applyAlignment="1">
      <alignment horizontal="center" vertical="center" wrapText="1"/>
    </xf>
    <xf numFmtId="3" fontId="43" fillId="2" borderId="16" xfId="0" applyNumberFormat="1" applyFont="1" applyFill="1" applyBorder="1" applyAlignment="1">
      <alignment horizontal="center" vertical="center" wrapText="1"/>
    </xf>
    <xf numFmtId="3" fontId="39" fillId="2" borderId="17" xfId="0" applyNumberFormat="1" applyFont="1" applyFill="1" applyBorder="1" applyAlignment="1">
      <alignment horizontal="center" vertical="center" wrapText="1"/>
    </xf>
    <xf numFmtId="0" fontId="4" fillId="2" borderId="6" xfId="2" applyNumberFormat="1" applyFill="1" applyBorder="1" applyAlignment="1">
      <alignment horizontal="center" vertical="center" wrapText="1"/>
    </xf>
    <xf numFmtId="0" fontId="4" fillId="2" borderId="7" xfId="2" applyNumberFormat="1" applyFill="1" applyBorder="1" applyAlignment="1">
      <alignment horizontal="center" vertical="center" wrapText="1"/>
    </xf>
    <xf numFmtId="0" fontId="4" fillId="2" borderId="8" xfId="2" applyNumberFormat="1" applyFill="1" applyBorder="1" applyAlignment="1">
      <alignment horizontal="center" vertical="center" wrapText="1"/>
    </xf>
    <xf numFmtId="0" fontId="10" fillId="2" borderId="0" xfId="2" applyNumberFormat="1" applyFont="1" applyFill="1" applyAlignment="1">
      <alignment horizontal="center" vertical="center" wrapText="1"/>
    </xf>
    <xf numFmtId="0" fontId="4" fillId="2" borderId="5" xfId="2" applyNumberFormat="1" applyFill="1" applyBorder="1" applyAlignment="1">
      <alignment horizontal="center" vertical="center" wrapText="1"/>
    </xf>
    <xf numFmtId="0" fontId="4" fillId="2" borderId="5" xfId="2" applyNumberFormat="1" applyFill="1" applyBorder="1" applyAlignment="1">
      <alignment horizontal="center" vertical="center"/>
    </xf>
    <xf numFmtId="4" fontId="21" fillId="2" borderId="0" xfId="6" applyNumberFormat="1" applyFont="1" applyFill="1" applyAlignment="1">
      <alignment horizontal="left"/>
    </xf>
    <xf numFmtId="4" fontId="21" fillId="2" borderId="0" xfId="6" applyNumberFormat="1" applyFont="1" applyFill="1" applyAlignment="1">
      <alignment horizontal="center"/>
    </xf>
    <xf numFmtId="3" fontId="16" fillId="2" borderId="0" xfId="6" applyNumberFormat="1" applyFont="1" applyFill="1" applyAlignment="1">
      <alignment horizontal="center"/>
    </xf>
    <xf numFmtId="4" fontId="16" fillId="2" borderId="0" xfId="6" applyNumberFormat="1" applyFont="1" applyFill="1" applyAlignment="1">
      <alignment horizontal="center"/>
    </xf>
    <xf numFmtId="4" fontId="21" fillId="2" borderId="12" xfId="6" applyNumberFormat="1" applyFont="1" applyFill="1" applyBorder="1" applyAlignment="1">
      <alignment horizontal="center" vertical="center"/>
    </xf>
    <xf numFmtId="4" fontId="21" fillId="2" borderId="13" xfId="6" applyNumberFormat="1" applyFont="1" applyFill="1" applyBorder="1" applyAlignment="1">
      <alignment horizontal="center" vertical="center"/>
    </xf>
    <xf numFmtId="4" fontId="21" fillId="2" borderId="14" xfId="6" applyNumberFormat="1" applyFont="1" applyFill="1" applyBorder="1" applyAlignment="1">
      <alignment horizontal="center" vertical="center"/>
    </xf>
    <xf numFmtId="4" fontId="21" fillId="2" borderId="11" xfId="6" applyNumberFormat="1" applyFont="1" applyFill="1" applyBorder="1" applyAlignment="1">
      <alignment horizontal="left"/>
    </xf>
  </cellXfs>
  <cellStyles count="11">
    <cellStyle name="Обычный" xfId="0" builtinId="0"/>
    <cellStyle name="Обычный 2" xfId="1" xr:uid="{00000000-0005-0000-0000-000001000000}"/>
    <cellStyle name="Обычный 2 2" xfId="5" xr:uid="{00000000-0005-0000-0000-000002000000}"/>
    <cellStyle name="Обычный 2 3" xfId="6" xr:uid="{00000000-0005-0000-0000-000003000000}"/>
    <cellStyle name="Обычный 3" xfId="2" xr:uid="{00000000-0005-0000-0000-000004000000}"/>
    <cellStyle name="Обычный 4" xfId="8" xr:uid="{00000000-0005-0000-0000-000005000000}"/>
    <cellStyle name="Обычный 5" xfId="9" xr:uid="{8034CC96-01FE-4044-A149-4F601443F49C}"/>
    <cellStyle name="Обычный 6" xfId="10" xr:uid="{71F3A5F8-AEE6-478F-9800-55A571152935}"/>
    <cellStyle name="Обычный 8" xfId="7" xr:uid="{00000000-0005-0000-0000-000006000000}"/>
    <cellStyle name="Обычный_Gaisa apreķins" xfId="4" xr:uid="{00000000-0005-0000-0000-000007000000}"/>
    <cellStyle name="Обычный_Gidrauliskais aprekins2" xfId="3" xr:uid="{00000000-0005-0000-0000-000008000000}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G"/><Relationship Id="rId13" Type="http://schemas.openxmlformats.org/officeDocument/2006/relationships/image" Target="../media/image20.PNG"/><Relationship Id="rId3" Type="http://schemas.openxmlformats.org/officeDocument/2006/relationships/image" Target="../media/image10.jpeg"/><Relationship Id="rId7" Type="http://schemas.openxmlformats.org/officeDocument/2006/relationships/image" Target="../media/image14.JPG"/><Relationship Id="rId12" Type="http://schemas.openxmlformats.org/officeDocument/2006/relationships/image" Target="../media/image19.JP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6" Type="http://schemas.openxmlformats.org/officeDocument/2006/relationships/image" Target="../media/image13.JPG"/><Relationship Id="rId11" Type="http://schemas.openxmlformats.org/officeDocument/2006/relationships/image" Target="../media/image18.JPG"/><Relationship Id="rId5" Type="http://schemas.openxmlformats.org/officeDocument/2006/relationships/image" Target="../media/image12.png"/><Relationship Id="rId10" Type="http://schemas.openxmlformats.org/officeDocument/2006/relationships/image" Target="../media/image17.JPG"/><Relationship Id="rId4" Type="http://schemas.openxmlformats.org/officeDocument/2006/relationships/image" Target="../media/image11.jpeg"/><Relationship Id="rId9" Type="http://schemas.openxmlformats.org/officeDocument/2006/relationships/image" Target="../media/image16.JPG"/><Relationship Id="rId14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289889</xdr:colOff>
      <xdr:row>20</xdr:row>
      <xdr:rowOff>82827</xdr:rowOff>
    </xdr:from>
    <xdr:to>
      <xdr:col>8</xdr:col>
      <xdr:colOff>726709</xdr:colOff>
      <xdr:row>28</xdr:row>
      <xdr:rowOff>8821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6346" y="5367131"/>
          <a:ext cx="2043646" cy="151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74543</xdr:rowOff>
    </xdr:from>
    <xdr:to>
      <xdr:col>6</xdr:col>
      <xdr:colOff>182217</xdr:colOff>
      <xdr:row>31</xdr:row>
      <xdr:rowOff>97384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92" y="4961282"/>
          <a:ext cx="4199282" cy="2408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83239</xdr:colOff>
      <xdr:row>16</xdr:row>
      <xdr:rowOff>42656</xdr:rowOff>
    </xdr:from>
    <xdr:to>
      <xdr:col>10</xdr:col>
      <xdr:colOff>74958</xdr:colOff>
      <xdr:row>24</xdr:row>
      <xdr:rowOff>67502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1889" y="3986006"/>
          <a:ext cx="2163419" cy="1625046"/>
        </a:xfrm>
        <a:prstGeom prst="rect">
          <a:avLst/>
        </a:prstGeom>
      </xdr:spPr>
    </xdr:pic>
    <xdr:clientData/>
  </xdr:twoCellAnchor>
  <xdr:twoCellAnchor editAs="oneCell">
    <xdr:from>
      <xdr:col>1</xdr:col>
      <xdr:colOff>8283</xdr:colOff>
      <xdr:row>14</xdr:row>
      <xdr:rowOff>57978</xdr:rowOff>
    </xdr:from>
    <xdr:to>
      <xdr:col>6</xdr:col>
      <xdr:colOff>685800</xdr:colOff>
      <xdr:row>27</xdr:row>
      <xdr:rowOff>26956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33" y="3601278"/>
          <a:ext cx="4297017" cy="25693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480391</xdr:colOff>
      <xdr:row>39</xdr:row>
      <xdr:rowOff>157370</xdr:rowOff>
    </xdr:from>
    <xdr:to>
      <xdr:col>7</xdr:col>
      <xdr:colOff>652080</xdr:colOff>
      <xdr:row>48</xdr:row>
      <xdr:rowOff>25907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3641" y="13187570"/>
          <a:ext cx="1714739" cy="1668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37</xdr:row>
      <xdr:rowOff>74544</xdr:rowOff>
    </xdr:from>
    <xdr:to>
      <xdr:col>5</xdr:col>
      <xdr:colOff>69575</xdr:colOff>
      <xdr:row>50</xdr:row>
      <xdr:rowOff>115733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1" y="12704694"/>
          <a:ext cx="3117574" cy="264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218516</xdr:colOff>
      <xdr:row>154</xdr:row>
      <xdr:rowOff>156082</xdr:rowOff>
    </xdr:from>
    <xdr:to>
      <xdr:col>18</xdr:col>
      <xdr:colOff>459923</xdr:colOff>
      <xdr:row>163</xdr:row>
      <xdr:rowOff>40732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0416" y="31064707"/>
          <a:ext cx="4870557" cy="1684875"/>
        </a:xfrm>
        <a:prstGeom prst="rect">
          <a:avLst/>
        </a:prstGeom>
      </xdr:spPr>
    </xdr:pic>
    <xdr:clientData/>
  </xdr:twoCellAnchor>
  <xdr:twoCellAnchor editAs="oneCell">
    <xdr:from>
      <xdr:col>6</xdr:col>
      <xdr:colOff>1037665</xdr:colOff>
      <xdr:row>51</xdr:row>
      <xdr:rowOff>0</xdr:rowOff>
    </xdr:from>
    <xdr:to>
      <xdr:col>10</xdr:col>
      <xdr:colOff>454289</xdr:colOff>
      <xdr:row>59</xdr:row>
      <xdr:rowOff>76309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415" y="10201275"/>
          <a:ext cx="2655124" cy="167650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178</xdr:row>
      <xdr:rowOff>0</xdr:rowOff>
    </xdr:from>
    <xdr:to>
      <xdr:col>18</xdr:col>
      <xdr:colOff>381000</xdr:colOff>
      <xdr:row>185</xdr:row>
      <xdr:rowOff>38937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0" y="35709225"/>
          <a:ext cx="5010150" cy="1439112"/>
        </a:xfrm>
        <a:prstGeom prst="rect">
          <a:avLst/>
        </a:prstGeom>
      </xdr:spPr>
    </xdr:pic>
    <xdr:clientData/>
  </xdr:twoCellAnchor>
  <xdr:twoCellAnchor editAs="oneCell">
    <xdr:from>
      <xdr:col>11</xdr:col>
      <xdr:colOff>302558</xdr:colOff>
      <xdr:row>163</xdr:row>
      <xdr:rowOff>134470</xdr:rowOff>
    </xdr:from>
    <xdr:to>
      <xdr:col>21</xdr:col>
      <xdr:colOff>340331</xdr:colOff>
      <xdr:row>171</xdr:row>
      <xdr:rowOff>78763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4458" y="32843320"/>
          <a:ext cx="6590973" cy="1544493"/>
        </a:xfrm>
        <a:prstGeom prst="rect">
          <a:avLst/>
        </a:prstGeom>
      </xdr:spPr>
    </xdr:pic>
    <xdr:clientData/>
  </xdr:twoCellAnchor>
  <xdr:twoCellAnchor editAs="oneCell">
    <xdr:from>
      <xdr:col>9</xdr:col>
      <xdr:colOff>307246</xdr:colOff>
      <xdr:row>107</xdr:row>
      <xdr:rowOff>78442</xdr:rowOff>
    </xdr:from>
    <xdr:to>
      <xdr:col>19</xdr:col>
      <xdr:colOff>454343</xdr:colOff>
      <xdr:row>126</xdr:row>
      <xdr:rowOff>78442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260871" y="21481117"/>
          <a:ext cx="6919372" cy="3800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32361</xdr:colOff>
      <xdr:row>134</xdr:row>
      <xdr:rowOff>179293</xdr:rowOff>
    </xdr:from>
    <xdr:to>
      <xdr:col>21</xdr:col>
      <xdr:colOff>378501</xdr:colOff>
      <xdr:row>149</xdr:row>
      <xdr:rowOff>112059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3811" y="26982643"/>
          <a:ext cx="2879790" cy="3037916"/>
        </a:xfrm>
        <a:prstGeom prst="rect">
          <a:avLst/>
        </a:prstGeom>
      </xdr:spPr>
    </xdr:pic>
    <xdr:clientData/>
  </xdr:twoCellAnchor>
  <xdr:twoCellAnchor editAs="oneCell">
    <xdr:from>
      <xdr:col>21</xdr:col>
      <xdr:colOff>605119</xdr:colOff>
      <xdr:row>134</xdr:row>
      <xdr:rowOff>44824</xdr:rowOff>
    </xdr:from>
    <xdr:to>
      <xdr:col>27</xdr:col>
      <xdr:colOff>268972</xdr:colOff>
      <xdr:row>146</xdr:row>
      <xdr:rowOff>2807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0219" y="26848174"/>
          <a:ext cx="3321453" cy="2463058"/>
        </a:xfrm>
        <a:prstGeom prst="rect">
          <a:avLst/>
        </a:prstGeom>
      </xdr:spPr>
    </xdr:pic>
    <xdr:clientData/>
  </xdr:twoCellAnchor>
  <xdr:twoCellAnchor editAs="oneCell">
    <xdr:from>
      <xdr:col>22</xdr:col>
      <xdr:colOff>67235</xdr:colOff>
      <xdr:row>147</xdr:row>
      <xdr:rowOff>22412</xdr:rowOff>
    </xdr:from>
    <xdr:to>
      <xdr:col>24</xdr:col>
      <xdr:colOff>492525</xdr:colOff>
      <xdr:row>149</xdr:row>
      <xdr:rowOff>152341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1935" y="29530862"/>
          <a:ext cx="1644490" cy="529979"/>
        </a:xfrm>
        <a:prstGeom prst="rect">
          <a:avLst/>
        </a:prstGeom>
      </xdr:spPr>
    </xdr:pic>
    <xdr:clientData/>
  </xdr:twoCellAnchor>
  <xdr:twoCellAnchor editAs="oneCell">
    <xdr:from>
      <xdr:col>7</xdr:col>
      <xdr:colOff>291354</xdr:colOff>
      <xdr:row>24</xdr:row>
      <xdr:rowOff>67236</xdr:rowOff>
    </xdr:from>
    <xdr:to>
      <xdr:col>12</xdr:col>
      <xdr:colOff>339805</xdr:colOff>
      <xdr:row>32</xdr:row>
      <xdr:rowOff>2942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4329" y="4867836"/>
          <a:ext cx="3629851" cy="1535906"/>
        </a:xfrm>
        <a:prstGeom prst="rect">
          <a:avLst/>
        </a:prstGeom>
      </xdr:spPr>
    </xdr:pic>
    <xdr:clientData/>
  </xdr:twoCellAnchor>
  <xdr:twoCellAnchor editAs="oneCell">
    <xdr:from>
      <xdr:col>7</xdr:col>
      <xdr:colOff>280147</xdr:colOff>
      <xdr:row>32</xdr:row>
      <xdr:rowOff>56029</xdr:rowOff>
    </xdr:from>
    <xdr:to>
      <xdr:col>9</xdr:col>
      <xdr:colOff>644761</xdr:colOff>
      <xdr:row>39</xdr:row>
      <xdr:rowOff>79179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3122" y="6456829"/>
          <a:ext cx="1755264" cy="1423325"/>
        </a:xfrm>
        <a:prstGeom prst="rect">
          <a:avLst/>
        </a:prstGeom>
      </xdr:spPr>
    </xdr:pic>
    <xdr:clientData/>
  </xdr:twoCellAnchor>
  <xdr:twoCellAnchor editAs="oneCell">
    <xdr:from>
      <xdr:col>7</xdr:col>
      <xdr:colOff>257736</xdr:colOff>
      <xdr:row>40</xdr:row>
      <xdr:rowOff>56031</xdr:rowOff>
    </xdr:from>
    <xdr:to>
      <xdr:col>11</xdr:col>
      <xdr:colOff>459440</xdr:colOff>
      <xdr:row>49</xdr:row>
      <xdr:rowOff>149771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711" y="8057031"/>
          <a:ext cx="3030629" cy="1893965"/>
        </a:xfrm>
        <a:prstGeom prst="rect">
          <a:avLst/>
        </a:prstGeom>
      </xdr:spPr>
    </xdr:pic>
    <xdr:clientData/>
  </xdr:twoCellAnchor>
  <xdr:twoCellAnchor editAs="oneCell">
    <xdr:from>
      <xdr:col>6</xdr:col>
      <xdr:colOff>347384</xdr:colOff>
      <xdr:row>230</xdr:row>
      <xdr:rowOff>56030</xdr:rowOff>
    </xdr:from>
    <xdr:to>
      <xdr:col>9</xdr:col>
      <xdr:colOff>422197</xdr:colOff>
      <xdr:row>237</xdr:row>
      <xdr:rowOff>150024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9759" y="46166555"/>
          <a:ext cx="2456063" cy="1494169"/>
        </a:xfrm>
        <a:prstGeom prst="rect">
          <a:avLst/>
        </a:prstGeom>
      </xdr:spPr>
    </xdr:pic>
    <xdr:clientData/>
  </xdr:twoCellAnchor>
  <xdr:twoCellAnchor editAs="oneCell">
    <xdr:from>
      <xdr:col>9</xdr:col>
      <xdr:colOff>313763</xdr:colOff>
      <xdr:row>90</xdr:row>
      <xdr:rowOff>80569</xdr:rowOff>
    </xdr:from>
    <xdr:to>
      <xdr:col>15</xdr:col>
      <xdr:colOff>193542</xdr:colOff>
      <xdr:row>106</xdr:row>
      <xdr:rowOff>150009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388" y="18082819"/>
          <a:ext cx="4118404" cy="3269840"/>
        </a:xfrm>
        <a:prstGeom prst="rect">
          <a:avLst/>
        </a:prstGeom>
      </xdr:spPr>
    </xdr:pic>
    <xdr:clientData/>
  </xdr:twoCellAnchor>
  <xdr:twoCellAnchor editAs="oneCell">
    <xdr:from>
      <xdr:col>27</xdr:col>
      <xdr:colOff>164284</xdr:colOff>
      <xdr:row>132</xdr:row>
      <xdr:rowOff>104589</xdr:rowOff>
    </xdr:from>
    <xdr:to>
      <xdr:col>36</xdr:col>
      <xdr:colOff>75207</xdr:colOff>
      <xdr:row>152</xdr:row>
      <xdr:rowOff>73369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766984" y="26507889"/>
          <a:ext cx="5397323" cy="40740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241</xdr:row>
          <xdr:rowOff>9525</xdr:rowOff>
        </xdr:from>
        <xdr:to>
          <xdr:col>18</xdr:col>
          <xdr:colOff>523875</xdr:colOff>
          <xdr:row>241</xdr:row>
          <xdr:rowOff>180975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4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241</xdr:row>
          <xdr:rowOff>295275</xdr:rowOff>
        </xdr:from>
        <xdr:to>
          <xdr:col>19</xdr:col>
          <xdr:colOff>295275</xdr:colOff>
          <xdr:row>241</xdr:row>
          <xdr:rowOff>485775</xdr:rowOff>
        </xdr:to>
        <xdr:sp macro="" textlink="">
          <xdr:nvSpPr>
            <xdr:cNvPr id="35842" name="Object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4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8AB3-A811-42A2-A310-A06D46D8C4CE}">
  <sheetPr>
    <pageSetUpPr fitToPage="1"/>
  </sheetPr>
  <dimension ref="B1:W48"/>
  <sheetViews>
    <sheetView showGridLines="0" zoomScale="85" zoomScaleNormal="85" zoomScaleSheetLayoutView="85" workbookViewId="0">
      <selection activeCell="V19" sqref="V19"/>
    </sheetView>
  </sheetViews>
  <sheetFormatPr defaultColWidth="8.7109375" defaultRowHeight="20.25" customHeight="1" x14ac:dyDescent="0.25"/>
  <cols>
    <col min="1" max="1" width="1.42578125" style="125" customWidth="1"/>
    <col min="2" max="9" width="12" style="125" customWidth="1"/>
    <col min="10" max="10" width="4" style="125" customWidth="1"/>
    <col min="11" max="11" width="11.42578125" style="125" customWidth="1"/>
    <col min="12" max="12" width="5.5703125" style="125" customWidth="1"/>
    <col min="13" max="13" width="8.7109375" style="129"/>
    <col min="14" max="16384" width="8.7109375" style="125"/>
  </cols>
  <sheetData>
    <row r="1" spans="2:13" ht="5.25" customHeight="1" x14ac:dyDescent="0.25"/>
    <row r="2" spans="2:13" ht="20.25" customHeight="1" x14ac:dyDescent="0.25">
      <c r="B2" s="139" t="s">
        <v>324</v>
      </c>
      <c r="C2" s="139"/>
      <c r="D2" s="134"/>
      <c r="E2" s="134"/>
      <c r="F2" s="196"/>
      <c r="G2" s="134"/>
      <c r="H2" s="134"/>
      <c r="I2" s="134"/>
      <c r="J2" s="134"/>
      <c r="K2" s="134"/>
    </row>
    <row r="3" spans="2:13" ht="20.25" customHeight="1" x14ac:dyDescent="0.25">
      <c r="B3" s="139" t="s">
        <v>366</v>
      </c>
      <c r="C3" s="139"/>
      <c r="D3" s="134"/>
      <c r="E3" s="134"/>
      <c r="F3" s="196"/>
      <c r="G3" s="134"/>
      <c r="H3" s="134"/>
      <c r="I3" s="134"/>
      <c r="J3" s="134"/>
      <c r="K3" s="134"/>
    </row>
    <row r="4" spans="2:13" s="126" customFormat="1" ht="20.25" customHeight="1" x14ac:dyDescent="0.25">
      <c r="B4" s="204" t="s">
        <v>18</v>
      </c>
      <c r="C4" s="187" t="s">
        <v>326</v>
      </c>
      <c r="D4" s="141"/>
      <c r="E4" s="188"/>
      <c r="F4" s="204" t="s">
        <v>325</v>
      </c>
      <c r="G4" s="204" t="s">
        <v>19</v>
      </c>
      <c r="H4" s="206" t="s">
        <v>205</v>
      </c>
      <c r="I4" s="206" t="s">
        <v>20</v>
      </c>
      <c r="K4" s="130"/>
    </row>
    <row r="5" spans="2:13" s="126" customFormat="1" ht="20.25" customHeight="1" x14ac:dyDescent="0.25">
      <c r="B5" s="208"/>
      <c r="C5" s="140" t="s">
        <v>321</v>
      </c>
      <c r="D5" s="140" t="s">
        <v>322</v>
      </c>
      <c r="E5" s="186" t="s">
        <v>303</v>
      </c>
      <c r="F5" s="205"/>
      <c r="G5" s="205"/>
      <c r="H5" s="207"/>
      <c r="I5" s="207"/>
      <c r="K5" s="130"/>
    </row>
    <row r="6" spans="2:13" s="126" customFormat="1" ht="20.25" customHeight="1" x14ac:dyDescent="0.25">
      <c r="B6" s="205"/>
      <c r="C6" s="140" t="s">
        <v>160</v>
      </c>
      <c r="D6" s="140" t="s">
        <v>160</v>
      </c>
      <c r="E6" s="186" t="s">
        <v>55</v>
      </c>
      <c r="F6" s="140" t="s">
        <v>43</v>
      </c>
      <c r="G6" s="140" t="s">
        <v>10</v>
      </c>
      <c r="H6" s="186" t="s">
        <v>10</v>
      </c>
      <c r="I6" s="186" t="s">
        <v>36</v>
      </c>
      <c r="K6" s="130"/>
    </row>
    <row r="7" spans="2:13" ht="20.25" customHeight="1" x14ac:dyDescent="0.25">
      <c r="B7" s="197">
        <v>1</v>
      </c>
      <c r="C7" s="127">
        <v>1000</v>
      </c>
      <c r="D7" s="127">
        <v>400</v>
      </c>
      <c r="E7" s="192">
        <f>IF(C7&gt;0,C7/1000*D7/1000," ")</f>
        <v>0.4</v>
      </c>
      <c r="F7" s="128">
        <v>18.2</v>
      </c>
      <c r="G7" s="127">
        <v>30000</v>
      </c>
      <c r="H7" s="191">
        <f>IF(F7&gt;0,E7*F7*3600," ")</f>
        <v>26208</v>
      </c>
      <c r="I7" s="191">
        <f>IF(F7&gt;0,H7*100/G7-100," ")</f>
        <v>-12.64</v>
      </c>
      <c r="K7" s="129"/>
      <c r="M7" s="125"/>
    </row>
    <row r="8" spans="2:13" ht="20.25" customHeight="1" x14ac:dyDescent="0.25">
      <c r="B8" s="197"/>
      <c r="C8" s="127"/>
      <c r="D8" s="127"/>
      <c r="E8" s="192" t="str">
        <f t="shared" ref="E8" si="0">IF(C8&gt;0,C8/1000*D8/1000," ")</f>
        <v xml:space="preserve"> </v>
      </c>
      <c r="F8" s="128"/>
      <c r="G8" s="127"/>
      <c r="H8" s="191" t="str">
        <f>IF(F8&gt;0,E8*F8*3600," ")</f>
        <v xml:space="preserve"> </v>
      </c>
      <c r="I8" s="191" t="str">
        <f t="shared" ref="I8" si="1">IF(F8&gt;0,H8*100/G8-100," ")</f>
        <v xml:space="preserve"> </v>
      </c>
      <c r="K8" s="129"/>
      <c r="M8" s="125"/>
    </row>
    <row r="9" spans="2:13" ht="20.25" customHeight="1" x14ac:dyDescent="0.25">
      <c r="C9" s="199"/>
      <c r="D9" s="199"/>
      <c r="E9" s="200"/>
      <c r="F9" s="198" t="s">
        <v>17</v>
      </c>
      <c r="G9" s="127">
        <f>SUM(G4:G8)</f>
        <v>30000</v>
      </c>
      <c r="H9" s="127">
        <f>SUM(H4:H8)</f>
        <v>26208</v>
      </c>
      <c r="I9" s="127">
        <f>IF(G9&gt;0,H9*100/G9-100," ")</f>
        <v>-12.64</v>
      </c>
      <c r="K9" s="129"/>
      <c r="M9" s="125"/>
    </row>
    <row r="10" spans="2:13" ht="20.25" customHeight="1" x14ac:dyDescent="0.25">
      <c r="B10" s="139" t="s">
        <v>367</v>
      </c>
      <c r="C10" s="139"/>
      <c r="D10" s="134"/>
      <c r="E10" s="134"/>
      <c r="F10" s="196"/>
      <c r="G10" s="134"/>
      <c r="H10" s="134"/>
      <c r="I10" s="134"/>
      <c r="J10" s="134"/>
      <c r="K10" s="134"/>
    </row>
    <row r="11" spans="2:13" s="126" customFormat="1" ht="20.25" customHeight="1" x14ac:dyDescent="0.25">
      <c r="B11" s="204" t="s">
        <v>18</v>
      </c>
      <c r="C11" s="187" t="s">
        <v>326</v>
      </c>
      <c r="D11" s="141"/>
      <c r="E11" s="188"/>
      <c r="F11" s="204" t="s">
        <v>325</v>
      </c>
      <c r="G11" s="204" t="s">
        <v>19</v>
      </c>
      <c r="H11" s="206" t="s">
        <v>205</v>
      </c>
      <c r="I11" s="206" t="s">
        <v>20</v>
      </c>
      <c r="K11" s="130"/>
    </row>
    <row r="12" spans="2:13" s="126" customFormat="1" ht="20.25" customHeight="1" x14ac:dyDescent="0.25">
      <c r="B12" s="208"/>
      <c r="C12" s="140" t="s">
        <v>321</v>
      </c>
      <c r="D12" s="140" t="s">
        <v>322</v>
      </c>
      <c r="E12" s="186" t="s">
        <v>303</v>
      </c>
      <c r="F12" s="205"/>
      <c r="G12" s="205"/>
      <c r="H12" s="207"/>
      <c r="I12" s="207"/>
      <c r="K12" s="203"/>
    </row>
    <row r="13" spans="2:13" s="126" customFormat="1" ht="20.25" customHeight="1" x14ac:dyDescent="0.25">
      <c r="B13" s="205"/>
      <c r="C13" s="140" t="s">
        <v>160</v>
      </c>
      <c r="D13" s="140" t="s">
        <v>160</v>
      </c>
      <c r="E13" s="186" t="s">
        <v>55</v>
      </c>
      <c r="F13" s="140" t="s">
        <v>43</v>
      </c>
      <c r="G13" s="140" t="s">
        <v>10</v>
      </c>
      <c r="H13" s="186" t="s">
        <v>10</v>
      </c>
      <c r="I13" s="186" t="s">
        <v>36</v>
      </c>
      <c r="K13" s="130"/>
    </row>
    <row r="14" spans="2:13" ht="20.25" customHeight="1" x14ac:dyDescent="0.25">
      <c r="B14" s="197">
        <v>1</v>
      </c>
      <c r="C14" s="127">
        <v>1000</v>
      </c>
      <c r="D14" s="127">
        <v>400</v>
      </c>
      <c r="E14" s="192">
        <f>IF(C14&gt;0,C14/1000*D14/1000," ")</f>
        <v>0.4</v>
      </c>
      <c r="F14" s="128">
        <v>18.600000000000001</v>
      </c>
      <c r="G14" s="127">
        <v>30000</v>
      </c>
      <c r="H14" s="191">
        <f>IF(F14&gt;0,E14*F14*3600," ")</f>
        <v>26784.000000000004</v>
      </c>
      <c r="I14" s="191">
        <f>IF(F14&gt;0,H14*100/G14-100," ")</f>
        <v>-10.719999999999985</v>
      </c>
      <c r="K14" s="129"/>
      <c r="M14" s="125"/>
    </row>
    <row r="15" spans="2:13" ht="20.25" customHeight="1" x14ac:dyDescent="0.25">
      <c r="B15" s="197"/>
      <c r="C15" s="127"/>
      <c r="D15" s="127"/>
      <c r="E15" s="192" t="str">
        <f t="shared" ref="E15" si="2">IF(C15&gt;0,C15/1000*D15/1000," ")</f>
        <v xml:space="preserve"> </v>
      </c>
      <c r="F15" s="128"/>
      <c r="G15" s="127"/>
      <c r="H15" s="191" t="str">
        <f>IF(F15&gt;0,E15*F15*3600," ")</f>
        <v xml:space="preserve"> </v>
      </c>
      <c r="I15" s="191" t="str">
        <f t="shared" ref="I15" si="3">IF(F15&gt;0,H15*100/G15-100," ")</f>
        <v xml:space="preserve"> </v>
      </c>
      <c r="K15" s="129"/>
      <c r="M15" s="125"/>
    </row>
    <row r="16" spans="2:13" ht="20.25" customHeight="1" x14ac:dyDescent="0.25">
      <c r="C16" s="199"/>
      <c r="D16" s="199"/>
      <c r="E16" s="200"/>
      <c r="F16" s="198" t="s">
        <v>17</v>
      </c>
      <c r="G16" s="127">
        <f>SUM(G11:G15)</f>
        <v>30000</v>
      </c>
      <c r="H16" s="127">
        <f>SUM(H11:H15)</f>
        <v>26784.000000000004</v>
      </c>
      <c r="I16" s="127">
        <f>IF(G16&gt;0,H16*100/G16-100," ")</f>
        <v>-10.719999999999985</v>
      </c>
      <c r="K16" s="129"/>
      <c r="M16" s="125"/>
    </row>
    <row r="17" spans="2:15" ht="20.25" customHeight="1" x14ac:dyDescent="0.25">
      <c r="B17" s="139" t="str">
        <f>B2</f>
        <v>Dūmu novadīšanas sistēma DN1</v>
      </c>
      <c r="C17" s="139"/>
    </row>
    <row r="18" spans="2:15" s="143" customFormat="1" ht="15.75" x14ac:dyDescent="0.25">
      <c r="B18" t="s">
        <v>378</v>
      </c>
      <c r="E18" s="133"/>
      <c r="F18" s="133"/>
      <c r="H18" s="133"/>
      <c r="I18" s="133"/>
      <c r="J18" s="175"/>
      <c r="K18" s="143" t="s">
        <v>377</v>
      </c>
      <c r="L18" s="133"/>
      <c r="M18" s="175"/>
      <c r="N18" s="133"/>
      <c r="O18" s="133"/>
    </row>
    <row r="19" spans="2:15" s="143" customFormat="1" ht="15.75" x14ac:dyDescent="0.25">
      <c r="B19" s="202" t="s">
        <v>379</v>
      </c>
      <c r="E19" s="133"/>
      <c r="F19" s="133"/>
      <c r="H19" s="133"/>
      <c r="I19" s="133"/>
      <c r="J19" s="175"/>
      <c r="L19" s="133"/>
      <c r="M19" s="175"/>
      <c r="N19" s="133"/>
      <c r="O19" s="133"/>
    </row>
    <row r="20" spans="2:15" s="142" customFormat="1" ht="15.75" x14ac:dyDescent="0.25">
      <c r="B20" s="150"/>
      <c r="C20" s="150"/>
      <c r="D20" s="151"/>
      <c r="I20" s="167"/>
      <c r="J20" s="173"/>
      <c r="K20" s="144"/>
      <c r="L20" s="174"/>
      <c r="M20" s="173"/>
      <c r="N20" s="144"/>
    </row>
    <row r="21" spans="2:15" s="142" customFormat="1" ht="15.75" x14ac:dyDescent="0.25">
      <c r="B21" s="150"/>
      <c r="C21" s="150"/>
      <c r="D21" s="151"/>
      <c r="I21" s="167"/>
      <c r="J21" s="173"/>
      <c r="K21" s="144"/>
      <c r="L21" s="174"/>
      <c r="M21" s="173"/>
      <c r="N21" s="144"/>
    </row>
    <row r="22" spans="2:15" s="142" customFormat="1" ht="15.75" x14ac:dyDescent="0.25">
      <c r="B22" s="150"/>
      <c r="C22" s="150"/>
      <c r="D22" s="151"/>
      <c r="I22" s="167"/>
      <c r="J22" s="173"/>
      <c r="K22" s="144"/>
      <c r="L22" s="174"/>
      <c r="M22" s="173"/>
      <c r="N22" s="144"/>
    </row>
    <row r="23" spans="2:15" s="142" customFormat="1" ht="15.75" x14ac:dyDescent="0.25">
      <c r="B23" s="150"/>
      <c r="C23" s="150"/>
      <c r="D23" s="151"/>
      <c r="I23" s="167"/>
      <c r="J23" s="173"/>
      <c r="K23" s="144"/>
      <c r="L23" s="174"/>
      <c r="M23" s="173"/>
      <c r="N23" s="144"/>
    </row>
    <row r="24" spans="2:15" s="142" customFormat="1" ht="15.75" x14ac:dyDescent="0.25">
      <c r="B24" s="150"/>
      <c r="C24" s="150"/>
      <c r="D24" s="151"/>
      <c r="I24" s="167"/>
      <c r="J24" s="173"/>
      <c r="K24" s="144"/>
      <c r="L24" s="174"/>
      <c r="M24" s="173"/>
      <c r="N24" s="144"/>
    </row>
    <row r="25" spans="2:15" s="142" customFormat="1" ht="15.75" x14ac:dyDescent="0.25">
      <c r="B25" s="150"/>
      <c r="C25" s="150"/>
      <c r="D25" s="151"/>
      <c r="I25" s="167"/>
      <c r="J25" s="173"/>
      <c r="K25" s="144"/>
      <c r="L25" s="174"/>
      <c r="M25" s="173"/>
      <c r="N25" s="144"/>
    </row>
    <row r="26" spans="2:15" s="142" customFormat="1" ht="15.75" x14ac:dyDescent="0.25">
      <c r="B26" s="150"/>
      <c r="C26" s="150"/>
      <c r="D26" s="151"/>
      <c r="I26" s="167"/>
      <c r="J26" s="173"/>
      <c r="K26" s="144"/>
      <c r="L26" s="174"/>
      <c r="M26" s="173"/>
      <c r="N26" s="144"/>
    </row>
    <row r="27" spans="2:15" s="142" customFormat="1" ht="15.75" x14ac:dyDescent="0.25">
      <c r="B27" s="150"/>
      <c r="C27" s="150"/>
      <c r="D27" s="151"/>
      <c r="I27" s="167"/>
      <c r="J27" s="173"/>
      <c r="K27" s="144"/>
      <c r="L27" s="174"/>
      <c r="M27" s="173"/>
      <c r="N27" s="144"/>
    </row>
    <row r="28" spans="2:15" s="142" customFormat="1" ht="15.75" x14ac:dyDescent="0.25">
      <c r="B28" s="150"/>
      <c r="C28" s="150"/>
      <c r="D28" s="151"/>
      <c r="I28" s="167"/>
      <c r="J28" s="173"/>
      <c r="K28" s="144"/>
      <c r="L28" s="174"/>
      <c r="M28" s="173"/>
      <c r="N28" s="144"/>
    </row>
    <row r="29" spans="2:15" s="142" customFormat="1" ht="15.75" x14ac:dyDescent="0.25">
      <c r="B29" s="150"/>
      <c r="C29" s="150"/>
      <c r="D29" s="151"/>
      <c r="I29" s="167"/>
      <c r="J29" s="173"/>
      <c r="K29" s="144"/>
      <c r="L29" s="174"/>
      <c r="M29" s="173"/>
      <c r="N29" s="144"/>
    </row>
    <row r="30" spans="2:15" s="142" customFormat="1" ht="15.75" x14ac:dyDescent="0.25">
      <c r="B30" s="150"/>
      <c r="C30" s="150"/>
      <c r="D30" s="151"/>
      <c r="I30" s="167"/>
      <c r="J30" s="173"/>
      <c r="K30" s="144"/>
      <c r="L30" s="174"/>
      <c r="M30" s="173"/>
      <c r="N30" s="144"/>
    </row>
    <row r="31" spans="2:15" s="142" customFormat="1" ht="15.75" x14ac:dyDescent="0.25">
      <c r="B31" s="150"/>
      <c r="C31" s="150"/>
      <c r="D31" s="151"/>
      <c r="I31" s="167"/>
      <c r="J31" s="173"/>
      <c r="K31" s="144"/>
      <c r="L31" s="174"/>
      <c r="M31" s="173"/>
      <c r="N31" s="144"/>
    </row>
    <row r="32" spans="2:15" s="142" customFormat="1" ht="15.75" x14ac:dyDescent="0.25">
      <c r="B32" s="150"/>
      <c r="C32" s="151"/>
      <c r="H32" s="167"/>
      <c r="I32" s="173"/>
      <c r="J32" s="144"/>
      <c r="K32" s="174"/>
      <c r="L32" s="173"/>
      <c r="M32" s="144"/>
    </row>
    <row r="33" spans="2:23" s="142" customFormat="1" ht="15.75" x14ac:dyDescent="0.25">
      <c r="B33" s="143" t="s">
        <v>319</v>
      </c>
      <c r="C33" s="131"/>
      <c r="D33" s="131"/>
      <c r="E33" s="132"/>
      <c r="F33" s="176" t="s">
        <v>4</v>
      </c>
      <c r="G33" s="145"/>
      <c r="H33" s="176" t="s">
        <v>2</v>
      </c>
      <c r="I33" s="145"/>
    </row>
    <row r="34" spans="2:23" s="142" customFormat="1" ht="15" x14ac:dyDescent="0.25">
      <c r="B34" s="158" t="s">
        <v>13</v>
      </c>
      <c r="C34" s="159"/>
      <c r="D34" s="159"/>
      <c r="E34" s="177"/>
      <c r="F34" s="178" t="s">
        <v>358</v>
      </c>
      <c r="G34" s="160"/>
      <c r="H34" s="178"/>
      <c r="I34" s="160"/>
      <c r="K34" s="172" t="s">
        <v>346</v>
      </c>
      <c r="R34" s="172" t="s">
        <v>181</v>
      </c>
      <c r="U34" s="147" t="s">
        <v>182</v>
      </c>
      <c r="V34" s="165">
        <v>15</v>
      </c>
      <c r="W34" s="155" t="s">
        <v>6</v>
      </c>
    </row>
    <row r="35" spans="2:23" s="142" customFormat="1" ht="15" x14ac:dyDescent="0.25">
      <c r="B35" s="158" t="s">
        <v>331</v>
      </c>
      <c r="C35" s="159"/>
      <c r="D35" s="159"/>
      <c r="E35" s="177"/>
      <c r="F35" s="178">
        <v>30000</v>
      </c>
      <c r="G35" s="160" t="s">
        <v>330</v>
      </c>
      <c r="H35" s="178"/>
      <c r="I35" s="160" t="s">
        <v>330</v>
      </c>
      <c r="K35" s="171" t="s">
        <v>166</v>
      </c>
      <c r="L35" s="146"/>
      <c r="M35" s="148" t="s">
        <v>5</v>
      </c>
      <c r="N35" s="149">
        <v>100</v>
      </c>
      <c r="O35" s="148" t="s">
        <v>5</v>
      </c>
      <c r="P35" s="156">
        <f>(P37/(P36))^2</f>
        <v>110.80332409972301</v>
      </c>
      <c r="R35" s="171" t="s">
        <v>137</v>
      </c>
      <c r="U35" s="147" t="s">
        <v>183</v>
      </c>
      <c r="V35" s="165">
        <v>20</v>
      </c>
      <c r="W35" s="155" t="s">
        <v>14</v>
      </c>
    </row>
    <row r="36" spans="2:23" s="142" customFormat="1" ht="15" x14ac:dyDescent="0.25">
      <c r="B36" s="161" t="s">
        <v>349</v>
      </c>
      <c r="C36" s="162"/>
      <c r="D36" s="162"/>
      <c r="E36" s="179"/>
      <c r="F36" s="180">
        <v>1800</v>
      </c>
      <c r="G36" s="163" t="s">
        <v>6</v>
      </c>
      <c r="H36" s="180"/>
      <c r="I36" s="163" t="s">
        <v>6</v>
      </c>
      <c r="K36" s="171" t="s">
        <v>247</v>
      </c>
      <c r="L36" s="146"/>
      <c r="M36" s="148" t="s">
        <v>7</v>
      </c>
      <c r="N36" s="164">
        <v>285</v>
      </c>
      <c r="O36" s="148" t="s">
        <v>7</v>
      </c>
      <c r="P36" s="155">
        <v>285</v>
      </c>
      <c r="R36" s="171" t="s">
        <v>184</v>
      </c>
      <c r="U36" s="147" t="s">
        <v>185</v>
      </c>
      <c r="V36" s="165">
        <v>1</v>
      </c>
      <c r="W36" s="147"/>
    </row>
    <row r="37" spans="2:23" s="142" customFormat="1" ht="15" x14ac:dyDescent="0.25">
      <c r="B37" s="161" t="s">
        <v>333</v>
      </c>
      <c r="C37" s="162"/>
      <c r="D37" s="162"/>
      <c r="E37" s="179"/>
      <c r="F37" s="180">
        <v>1453</v>
      </c>
      <c r="G37" s="163" t="s">
        <v>334</v>
      </c>
      <c r="H37" s="180">
        <v>1453</v>
      </c>
      <c r="I37" s="163" t="s">
        <v>334</v>
      </c>
      <c r="K37" s="171" t="s">
        <v>0</v>
      </c>
      <c r="L37" s="146"/>
      <c r="M37" s="148" t="s">
        <v>8</v>
      </c>
      <c r="N37" s="154">
        <f>N36*N35^0.5</f>
        <v>2850</v>
      </c>
      <c r="O37" s="148" t="s">
        <v>8</v>
      </c>
      <c r="P37" s="155">
        <v>3000</v>
      </c>
      <c r="R37" s="171" t="s">
        <v>186</v>
      </c>
      <c r="U37" s="147" t="s">
        <v>187</v>
      </c>
      <c r="V37" s="166">
        <f>0.07523*((V34*(V35+273)*V36)^0.5)</f>
        <v>4.9873575163106167</v>
      </c>
      <c r="W37" s="147" t="s">
        <v>43</v>
      </c>
    </row>
    <row r="38" spans="2:23" s="142" customFormat="1" ht="15" x14ac:dyDescent="0.25">
      <c r="B38" s="161" t="s">
        <v>357</v>
      </c>
      <c r="C38" s="162"/>
      <c r="D38" s="162"/>
      <c r="E38" s="179"/>
      <c r="F38" s="180">
        <v>1481</v>
      </c>
      <c r="G38" s="163" t="s">
        <v>334</v>
      </c>
      <c r="H38" s="180"/>
      <c r="I38" s="163"/>
      <c r="K38" s="171" t="s">
        <v>0</v>
      </c>
      <c r="L38" s="146"/>
      <c r="M38" s="148" t="s">
        <v>8</v>
      </c>
      <c r="N38" s="154">
        <f>3.6*N36*(N35^0.5)</f>
        <v>10260</v>
      </c>
    </row>
    <row r="39" spans="2:23" s="142" customFormat="1" ht="15" x14ac:dyDescent="0.25">
      <c r="B39" s="161" t="s">
        <v>350</v>
      </c>
      <c r="C39" s="162"/>
      <c r="D39" s="162"/>
      <c r="E39" s="179"/>
      <c r="F39" s="181">
        <v>72.400000000000006</v>
      </c>
      <c r="G39" s="163" t="s">
        <v>36</v>
      </c>
      <c r="H39" s="180"/>
      <c r="I39" s="163"/>
    </row>
    <row r="40" spans="2:23" s="142" customFormat="1" ht="15" x14ac:dyDescent="0.25">
      <c r="B40" s="161" t="s">
        <v>365</v>
      </c>
      <c r="C40" s="162"/>
      <c r="D40" s="162"/>
      <c r="E40" s="179"/>
      <c r="F40" s="180">
        <v>600</v>
      </c>
      <c r="G40" s="163" t="s">
        <v>14</v>
      </c>
      <c r="H40" s="180"/>
      <c r="I40" s="163"/>
    </row>
    <row r="41" spans="2:23" s="142" customFormat="1" ht="15.75" x14ac:dyDescent="0.25">
      <c r="B41" s="143" t="s">
        <v>329</v>
      </c>
      <c r="E41" s="167"/>
      <c r="F41" s="173"/>
      <c r="G41" s="144"/>
      <c r="H41" s="173"/>
      <c r="I41" s="144"/>
      <c r="K41" s="172" t="s">
        <v>348</v>
      </c>
      <c r="R41" s="172" t="s">
        <v>347</v>
      </c>
    </row>
    <row r="42" spans="2:23" s="142" customFormat="1" ht="15" x14ac:dyDescent="0.25">
      <c r="B42" s="158" t="s">
        <v>332</v>
      </c>
      <c r="C42" s="159"/>
      <c r="D42" s="159"/>
      <c r="E42" s="177"/>
      <c r="F42" s="178" t="s">
        <v>359</v>
      </c>
      <c r="G42" s="160"/>
      <c r="H42" s="178"/>
      <c r="I42" s="160"/>
      <c r="K42" s="171" t="s">
        <v>327</v>
      </c>
      <c r="L42" s="147"/>
      <c r="M42" s="147"/>
      <c r="N42" s="155">
        <f>H35</f>
        <v>0</v>
      </c>
      <c r="O42" s="147" t="s">
        <v>330</v>
      </c>
      <c r="R42" s="171" t="s">
        <v>12</v>
      </c>
      <c r="S42" s="169" t="s">
        <v>341</v>
      </c>
      <c r="T42" s="149">
        <v>2040</v>
      </c>
      <c r="U42" s="170" t="s">
        <v>334</v>
      </c>
    </row>
    <row r="43" spans="2:23" s="142" customFormat="1" ht="15" x14ac:dyDescent="0.25">
      <c r="B43" s="161" t="s">
        <v>351</v>
      </c>
      <c r="C43" s="162"/>
      <c r="D43" s="162"/>
      <c r="E43" s="179"/>
      <c r="F43" s="181">
        <v>30</v>
      </c>
      <c r="G43" s="163" t="s">
        <v>1</v>
      </c>
      <c r="H43" s="201">
        <v>28.1</v>
      </c>
      <c r="I43" s="163" t="s">
        <v>1</v>
      </c>
      <c r="K43" s="171" t="s">
        <v>336</v>
      </c>
      <c r="L43" s="147"/>
      <c r="M43" s="147"/>
      <c r="N43" s="155">
        <f>H36</f>
        <v>0</v>
      </c>
      <c r="O43" s="147" t="s">
        <v>6</v>
      </c>
      <c r="R43" s="171" t="s">
        <v>342</v>
      </c>
      <c r="S43" s="169" t="s">
        <v>343</v>
      </c>
      <c r="T43" s="149">
        <v>1560</v>
      </c>
      <c r="U43" s="170" t="s">
        <v>334</v>
      </c>
    </row>
    <row r="44" spans="2:23" s="142" customFormat="1" ht="15" x14ac:dyDescent="0.25">
      <c r="B44" s="161" t="s">
        <v>352</v>
      </c>
      <c r="C44" s="162"/>
      <c r="D44" s="162"/>
      <c r="E44" s="179"/>
      <c r="F44" s="182">
        <v>51.6</v>
      </c>
      <c r="G44" s="163" t="s">
        <v>32</v>
      </c>
      <c r="H44" s="182">
        <v>50.01</v>
      </c>
      <c r="I44" s="163" t="s">
        <v>32</v>
      </c>
      <c r="K44" s="171" t="s">
        <v>337</v>
      </c>
      <c r="L44" s="147"/>
      <c r="M44" s="147"/>
      <c r="N44" s="147">
        <v>0.8</v>
      </c>
      <c r="O44" s="147" t="s">
        <v>338</v>
      </c>
      <c r="R44" s="171" t="s">
        <v>12</v>
      </c>
      <c r="S44" s="169" t="s">
        <v>344</v>
      </c>
      <c r="T44" s="149">
        <v>195</v>
      </c>
      <c r="U44" s="147" t="s">
        <v>330</v>
      </c>
    </row>
    <row r="45" spans="2:23" s="142" customFormat="1" ht="15" x14ac:dyDescent="0.25">
      <c r="B45" s="161" t="s">
        <v>353</v>
      </c>
      <c r="C45" s="162"/>
      <c r="D45" s="162"/>
      <c r="E45" s="179"/>
      <c r="F45" s="182" t="s">
        <v>360</v>
      </c>
      <c r="G45" s="163" t="s">
        <v>354</v>
      </c>
      <c r="H45" s="182"/>
      <c r="I45" s="163"/>
      <c r="K45" s="171" t="s">
        <v>339</v>
      </c>
      <c r="L45" s="147"/>
      <c r="M45" s="147"/>
      <c r="N45" s="147">
        <v>0.65</v>
      </c>
      <c r="O45" s="147" t="s">
        <v>338</v>
      </c>
      <c r="R45" s="171" t="s">
        <v>342</v>
      </c>
      <c r="S45" s="169" t="s">
        <v>345</v>
      </c>
      <c r="T45" s="153">
        <f>T44*T43^2/T42^2</f>
        <v>114.03114186851211</v>
      </c>
      <c r="U45" s="147" t="s">
        <v>330</v>
      </c>
    </row>
    <row r="46" spans="2:23" s="142" customFormat="1" ht="15" x14ac:dyDescent="0.25">
      <c r="B46" s="161" t="s">
        <v>355</v>
      </c>
      <c r="C46" s="162"/>
      <c r="D46" s="162"/>
      <c r="E46" s="179"/>
      <c r="F46" s="180">
        <v>50</v>
      </c>
      <c r="G46" s="163" t="s">
        <v>356</v>
      </c>
      <c r="H46" s="182"/>
      <c r="I46" s="163"/>
      <c r="K46" s="171" t="s">
        <v>340</v>
      </c>
      <c r="L46" s="147"/>
      <c r="M46" s="147"/>
      <c r="N46" s="168">
        <f>(N42/3600*N43)/(N44*N45)</f>
        <v>0</v>
      </c>
      <c r="O46" s="147" t="s">
        <v>30</v>
      </c>
      <c r="R46" s="183"/>
      <c r="S46" s="169"/>
      <c r="T46" s="153"/>
      <c r="U46" s="147"/>
    </row>
    <row r="47" spans="2:23" ht="20.25" customHeight="1" x14ac:dyDescent="0.25">
      <c r="K47" s="129"/>
      <c r="M47" s="125"/>
    </row>
    <row r="48" spans="2:23" ht="20.25" customHeight="1" x14ac:dyDescent="0.25">
      <c r="L48" s="129"/>
      <c r="M48" s="125"/>
    </row>
  </sheetData>
  <mergeCells count="10">
    <mergeCell ref="F11:F12"/>
    <mergeCell ref="G11:G12"/>
    <mergeCell ref="H11:H12"/>
    <mergeCell ref="I11:I12"/>
    <mergeCell ref="B11:B13"/>
    <mergeCell ref="F4:F5"/>
    <mergeCell ref="G4:G5"/>
    <mergeCell ref="H4:H5"/>
    <mergeCell ref="I4:I5"/>
    <mergeCell ref="B4:B6"/>
  </mergeCells>
  <dataValidations count="4">
    <dataValidation type="list" allowBlank="1" showInputMessage="1" sqref="G43 I43" xr:uid="{C070B9C1-F9A6-4180-A6C1-8AEB34A3DB05}">
      <formula1>"W, kW"</formula1>
    </dataValidation>
    <dataValidation type="list" allowBlank="1" showInputMessage="1" sqref="F34" xr:uid="{B8492B17-CD1C-4F28-99C3-F8497CD94434}">
      <formula1>"centrbēdzes, ar sīksies piedzinu, jumta ventilators,"</formula1>
    </dataValidation>
    <dataValidation type="list" allowBlank="1" showInputMessage="1" showErrorMessage="1" sqref="F42" xr:uid="{E3C7487C-6D94-4513-AD0D-A678D489EE68}">
      <formula1>"EC, PM"</formula1>
    </dataValidation>
    <dataValidation type="list" allowBlank="1" showInputMessage="1" sqref="F45" xr:uid="{9E35DADA-BD13-40E6-879C-D60B029EE467}">
      <formula1>"3x400, 1x230"</formula1>
    </dataValidation>
  </dataValidation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7962-799F-4AE3-9259-EE531CE47C14}">
  <sheetPr>
    <pageSetUpPr fitToPage="1"/>
  </sheetPr>
  <dimension ref="B2:AA70"/>
  <sheetViews>
    <sheetView showGridLines="0" zoomScaleNormal="100" zoomScaleSheetLayoutView="85" workbookViewId="0">
      <selection activeCell="M21" sqref="M21"/>
    </sheetView>
  </sheetViews>
  <sheetFormatPr defaultColWidth="8.7109375" defaultRowHeight="20.25" customHeight="1" x14ac:dyDescent="0.25"/>
  <cols>
    <col min="1" max="1" width="1.42578125" style="125" customWidth="1"/>
    <col min="2" max="10" width="10.85546875" style="125" customWidth="1"/>
    <col min="11" max="11" width="5.140625" style="125" customWidth="1"/>
    <col min="12" max="12" width="11.42578125" style="125" customWidth="1"/>
    <col min="13" max="13" width="5.5703125" style="125" customWidth="1"/>
    <col min="14" max="14" width="8.7109375" style="129"/>
    <col min="15" max="16384" width="8.7109375" style="125"/>
  </cols>
  <sheetData>
    <row r="2" spans="2:16" ht="20.25" customHeight="1" x14ac:dyDescent="0.25">
      <c r="B2" s="139" t="s">
        <v>369</v>
      </c>
      <c r="C2" s="139"/>
      <c r="D2" s="139"/>
      <c r="E2" s="134"/>
      <c r="F2" s="134"/>
      <c r="G2" s="196"/>
      <c r="H2" s="134"/>
      <c r="I2" s="134"/>
      <c r="J2" s="134"/>
      <c r="K2" s="134"/>
      <c r="L2" s="134"/>
    </row>
    <row r="3" spans="2:16" s="126" customFormat="1" ht="20.25" customHeight="1" x14ac:dyDescent="0.25">
      <c r="B3" s="204" t="s">
        <v>320</v>
      </c>
      <c r="C3" s="204" t="s">
        <v>370</v>
      </c>
      <c r="D3" s="187" t="s">
        <v>326</v>
      </c>
      <c r="E3" s="141"/>
      <c r="F3" s="188"/>
      <c r="G3" s="204" t="s">
        <v>325</v>
      </c>
      <c r="H3" s="204" t="s">
        <v>19</v>
      </c>
      <c r="I3" s="206" t="s">
        <v>205</v>
      </c>
      <c r="J3" s="206" t="s">
        <v>20</v>
      </c>
      <c r="L3" s="130"/>
    </row>
    <row r="4" spans="2:16" s="126" customFormat="1" ht="20.25" customHeight="1" x14ac:dyDescent="0.25">
      <c r="B4" s="208"/>
      <c r="C4" s="208"/>
      <c r="D4" s="140" t="s">
        <v>321</v>
      </c>
      <c r="E4" s="140" t="s">
        <v>322</v>
      </c>
      <c r="F4" s="186" t="s">
        <v>303</v>
      </c>
      <c r="G4" s="205"/>
      <c r="H4" s="205"/>
      <c r="I4" s="207"/>
      <c r="J4" s="207"/>
      <c r="L4" s="130"/>
    </row>
    <row r="5" spans="2:16" s="126" customFormat="1" ht="20.25" customHeight="1" x14ac:dyDescent="0.25">
      <c r="B5" s="205"/>
      <c r="C5" s="205"/>
      <c r="D5" s="140" t="s">
        <v>160</v>
      </c>
      <c r="E5" s="140" t="s">
        <v>160</v>
      </c>
      <c r="F5" s="186" t="s">
        <v>55</v>
      </c>
      <c r="G5" s="140" t="s">
        <v>43</v>
      </c>
      <c r="H5" s="140" t="s">
        <v>10</v>
      </c>
      <c r="I5" s="186" t="s">
        <v>10</v>
      </c>
      <c r="J5" s="186" t="s">
        <v>36</v>
      </c>
      <c r="L5" s="130"/>
    </row>
    <row r="6" spans="2:16" ht="20.25" customHeight="1" x14ac:dyDescent="0.25">
      <c r="B6" s="197">
        <v>7</v>
      </c>
      <c r="C6" s="197" t="s">
        <v>376</v>
      </c>
      <c r="D6" s="127">
        <v>500</v>
      </c>
      <c r="E6" s="127">
        <v>300</v>
      </c>
      <c r="F6" s="192">
        <f>IF(D6&gt;0,D6/1000*E6/1000," ")</f>
        <v>0.15</v>
      </c>
      <c r="G6" s="128">
        <v>10.6</v>
      </c>
      <c r="H6" s="127">
        <v>5000</v>
      </c>
      <c r="I6" s="191">
        <f t="shared" ref="I6:I11" si="0">IF(G6&gt;0,F6*G6*3600," ")</f>
        <v>5723.9999999999991</v>
      </c>
      <c r="J6" s="191">
        <f>IF(G6&gt;0,I6*100/H6-100," ")</f>
        <v>14.479999999999976</v>
      </c>
      <c r="L6" s="129"/>
      <c r="N6" s="125"/>
    </row>
    <row r="7" spans="2:16" ht="20.25" customHeight="1" x14ac:dyDescent="0.25">
      <c r="B7" s="197">
        <v>6</v>
      </c>
      <c r="C7" s="197" t="s">
        <v>375</v>
      </c>
      <c r="D7" s="127">
        <v>500</v>
      </c>
      <c r="E7" s="127">
        <v>300</v>
      </c>
      <c r="F7" s="192">
        <f t="shared" ref="F7" si="1">IF(D7&gt;0,D7/1000*E7/1000," ")</f>
        <v>0.15</v>
      </c>
      <c r="G7" s="128">
        <v>10.7</v>
      </c>
      <c r="H7" s="127">
        <v>5000</v>
      </c>
      <c r="I7" s="191">
        <f t="shared" si="0"/>
        <v>5777.9999999999991</v>
      </c>
      <c r="J7" s="191">
        <f t="shared" ref="J7" si="2">IF(G7&gt;0,I7*100/H7-100," ")</f>
        <v>15.559999999999974</v>
      </c>
      <c r="L7" s="129"/>
      <c r="N7" s="125"/>
    </row>
    <row r="8" spans="2:16" ht="20.25" customHeight="1" x14ac:dyDescent="0.25">
      <c r="B8" s="197">
        <v>5</v>
      </c>
      <c r="C8" s="197" t="s">
        <v>374</v>
      </c>
      <c r="D8" s="127">
        <v>500</v>
      </c>
      <c r="E8" s="127">
        <v>300</v>
      </c>
      <c r="F8" s="192">
        <f>IF(D8&gt;0,D8/1000*E8/1000," ")</f>
        <v>0.15</v>
      </c>
      <c r="G8" s="128">
        <v>9.6</v>
      </c>
      <c r="H8" s="127">
        <v>5000</v>
      </c>
      <c r="I8" s="191">
        <f t="shared" si="0"/>
        <v>5184</v>
      </c>
      <c r="J8" s="191">
        <f>IF(G8&gt;0,I8*100/H8-100," ")</f>
        <v>3.6800000000000068</v>
      </c>
      <c r="L8" s="129"/>
      <c r="N8" s="125"/>
    </row>
    <row r="9" spans="2:16" ht="20.25" customHeight="1" x14ac:dyDescent="0.25">
      <c r="B9" s="197">
        <v>4</v>
      </c>
      <c r="C9" s="197" t="s">
        <v>373</v>
      </c>
      <c r="D9" s="127">
        <v>500</v>
      </c>
      <c r="E9" s="127">
        <v>300</v>
      </c>
      <c r="F9" s="192">
        <f t="shared" ref="F9" si="3">IF(D9&gt;0,D9/1000*E9/1000," ")</f>
        <v>0.15</v>
      </c>
      <c r="G9" s="128">
        <v>10.1</v>
      </c>
      <c r="H9" s="127">
        <v>5000</v>
      </c>
      <c r="I9" s="191">
        <f t="shared" si="0"/>
        <v>5454</v>
      </c>
      <c r="J9" s="191">
        <f t="shared" ref="J9" si="4">IF(G9&gt;0,I9*100/H9-100," ")</f>
        <v>9.0799999999999983</v>
      </c>
      <c r="L9" s="129"/>
      <c r="N9" s="125"/>
    </row>
    <row r="10" spans="2:16" ht="20.25" customHeight="1" x14ac:dyDescent="0.25">
      <c r="B10" s="197">
        <v>3</v>
      </c>
      <c r="C10" s="197" t="s">
        <v>372</v>
      </c>
      <c r="D10" s="127">
        <v>500</v>
      </c>
      <c r="E10" s="127">
        <v>300</v>
      </c>
      <c r="F10" s="192">
        <f t="shared" ref="F10" si="5">IF(D10&gt;0,D10/1000*E10/1000," ")</f>
        <v>0.15</v>
      </c>
      <c r="G10" s="128">
        <v>9.6999999999999993</v>
      </c>
      <c r="H10" s="127">
        <v>5000</v>
      </c>
      <c r="I10" s="191">
        <f t="shared" si="0"/>
        <v>5237.9999999999991</v>
      </c>
      <c r="J10" s="191">
        <f t="shared" ref="J10" si="6">IF(G10&gt;0,I10*100/H10-100," ")</f>
        <v>4.7599999999999767</v>
      </c>
      <c r="L10" s="129"/>
      <c r="N10" s="125"/>
    </row>
    <row r="11" spans="2:16" ht="20.25" customHeight="1" x14ac:dyDescent="0.25">
      <c r="B11" s="197">
        <v>2</v>
      </c>
      <c r="C11" s="197" t="s">
        <v>371</v>
      </c>
      <c r="D11" s="127">
        <v>500</v>
      </c>
      <c r="E11" s="127">
        <v>300</v>
      </c>
      <c r="F11" s="192">
        <f>IF(D11&gt;0,D11/1000*E11/1000," ")</f>
        <v>0.15</v>
      </c>
      <c r="G11" s="128">
        <v>9.3000000000000007</v>
      </c>
      <c r="H11" s="127">
        <v>5000</v>
      </c>
      <c r="I11" s="191">
        <f t="shared" si="0"/>
        <v>5022</v>
      </c>
      <c r="J11" s="191">
        <f>IF(G11&gt;0,I11*100/H11-100," ")</f>
        <v>0.43999999999999773</v>
      </c>
      <c r="L11" s="129"/>
      <c r="N11" s="125"/>
    </row>
    <row r="12" spans="2:16" ht="20.25" customHeight="1" x14ac:dyDescent="0.25">
      <c r="L12" s="129"/>
      <c r="N12" s="125"/>
    </row>
    <row r="13" spans="2:16" ht="20.25" customHeight="1" x14ac:dyDescent="0.25">
      <c r="B13" s="139" t="str">
        <f>B2</f>
        <v xml:space="preserve">Dūmu novadīšanas sistēma DN4. </v>
      </c>
      <c r="C13" s="139"/>
      <c r="D13" s="139"/>
    </row>
    <row r="14" spans="2:16" s="143" customFormat="1" ht="15.75" x14ac:dyDescent="0.25">
      <c r="B14" t="s">
        <v>368</v>
      </c>
      <c r="C14"/>
      <c r="F14" s="133"/>
      <c r="G14" s="133"/>
      <c r="I14" s="133"/>
      <c r="J14" s="133"/>
      <c r="K14" s="175"/>
      <c r="L14" s="133"/>
      <c r="M14" s="133"/>
      <c r="N14" s="175"/>
      <c r="O14" s="133"/>
      <c r="P14" s="133"/>
    </row>
    <row r="15" spans="2:16" s="142" customFormat="1" ht="15.75" x14ac:dyDescent="0.25">
      <c r="B15" s="150"/>
      <c r="C15" s="150"/>
      <c r="D15" s="150"/>
      <c r="E15" s="151"/>
      <c r="J15" s="167"/>
      <c r="K15" s="173"/>
      <c r="L15" s="144"/>
      <c r="M15" s="174"/>
      <c r="N15" s="173"/>
      <c r="O15" s="144"/>
    </row>
    <row r="16" spans="2:16" s="142" customFormat="1" ht="15.75" x14ac:dyDescent="0.25">
      <c r="B16" s="150"/>
      <c r="C16" s="150"/>
      <c r="D16" s="150"/>
      <c r="E16" s="151"/>
      <c r="J16" s="167"/>
      <c r="K16" s="173"/>
      <c r="L16" s="144"/>
      <c r="M16" s="174"/>
      <c r="N16" s="173"/>
      <c r="O16" s="144"/>
    </row>
    <row r="17" spans="2:24" s="142" customFormat="1" ht="15.75" x14ac:dyDescent="0.25">
      <c r="B17" s="150"/>
      <c r="C17" s="150"/>
      <c r="D17" s="150"/>
      <c r="E17" s="151"/>
      <c r="J17" s="167"/>
      <c r="K17" s="173"/>
      <c r="L17" s="144"/>
      <c r="M17" s="174"/>
      <c r="N17" s="173"/>
      <c r="O17" s="144"/>
    </row>
    <row r="18" spans="2:24" s="142" customFormat="1" ht="15.75" x14ac:dyDescent="0.25">
      <c r="B18" s="150"/>
      <c r="C18" s="150"/>
      <c r="D18" s="150"/>
      <c r="E18" s="151"/>
      <c r="J18" s="167"/>
      <c r="K18" s="173"/>
      <c r="L18" s="144"/>
      <c r="M18" s="174"/>
      <c r="N18" s="173"/>
      <c r="O18" s="144"/>
    </row>
    <row r="19" spans="2:24" s="142" customFormat="1" ht="15.75" x14ac:dyDescent="0.25">
      <c r="B19" s="150"/>
      <c r="C19" s="150"/>
      <c r="D19" s="150"/>
      <c r="E19" s="151"/>
      <c r="J19" s="167"/>
      <c r="K19" s="173"/>
      <c r="L19" s="144"/>
      <c r="M19" s="174"/>
      <c r="N19" s="173"/>
      <c r="O19" s="144"/>
    </row>
    <row r="20" spans="2:24" s="142" customFormat="1" ht="15.75" x14ac:dyDescent="0.25">
      <c r="B20" s="150"/>
      <c r="C20" s="150"/>
      <c r="D20" s="150"/>
      <c r="E20" s="151"/>
      <c r="J20" s="167"/>
      <c r="K20" s="173"/>
      <c r="L20" s="144"/>
      <c r="M20" s="174"/>
      <c r="N20" s="173"/>
      <c r="O20" s="144"/>
    </row>
    <row r="21" spans="2:24" s="142" customFormat="1" ht="15.75" x14ac:dyDescent="0.25">
      <c r="B21" s="150"/>
      <c r="C21" s="150"/>
      <c r="D21" s="150"/>
      <c r="E21" s="151"/>
      <c r="J21" s="167"/>
      <c r="K21" s="173"/>
      <c r="L21" s="144"/>
      <c r="M21" s="174"/>
      <c r="N21" s="173"/>
      <c r="O21" s="144"/>
    </row>
    <row r="22" spans="2:24" s="142" customFormat="1" ht="15.75" x14ac:dyDescent="0.25">
      <c r="B22" s="150"/>
      <c r="C22" s="150"/>
      <c r="D22" s="150"/>
      <c r="E22" s="151"/>
      <c r="J22" s="167"/>
      <c r="K22" s="173"/>
      <c r="L22" s="144"/>
      <c r="M22" s="174"/>
      <c r="N22" s="173"/>
      <c r="O22" s="144"/>
    </row>
    <row r="23" spans="2:24" s="142" customFormat="1" ht="15.75" x14ac:dyDescent="0.25">
      <c r="B23" s="150"/>
      <c r="C23" s="150"/>
      <c r="D23" s="150"/>
      <c r="E23" s="151"/>
      <c r="J23" s="167"/>
      <c r="K23" s="173"/>
      <c r="L23" s="144"/>
      <c r="M23" s="174"/>
      <c r="N23" s="173"/>
      <c r="O23" s="144"/>
    </row>
    <row r="24" spans="2:24" s="142" customFormat="1" ht="15.75" x14ac:dyDescent="0.25">
      <c r="B24" s="150"/>
      <c r="C24" s="150"/>
      <c r="D24" s="150"/>
      <c r="E24" s="151"/>
      <c r="J24" s="167"/>
      <c r="K24" s="173"/>
      <c r="L24" s="144"/>
      <c r="M24" s="174"/>
      <c r="N24" s="173"/>
      <c r="O24" s="144"/>
    </row>
    <row r="25" spans="2:24" s="142" customFormat="1" ht="15.75" x14ac:dyDescent="0.25">
      <c r="B25" s="150"/>
      <c r="C25" s="150"/>
      <c r="D25" s="150"/>
      <c r="E25" s="151"/>
      <c r="J25" s="167"/>
      <c r="K25" s="173"/>
      <c r="L25" s="144"/>
      <c r="M25" s="174"/>
      <c r="N25" s="173"/>
      <c r="O25" s="144"/>
    </row>
    <row r="26" spans="2:24" s="142" customFormat="1" ht="15.75" x14ac:dyDescent="0.25">
      <c r="B26" s="150"/>
      <c r="C26" s="150"/>
      <c r="D26" s="150"/>
      <c r="E26" s="151"/>
      <c r="J26" s="167"/>
      <c r="K26" s="173"/>
      <c r="L26" s="144"/>
      <c r="M26" s="174"/>
      <c r="N26" s="173"/>
      <c r="O26" s="144"/>
    </row>
    <row r="27" spans="2:24" s="142" customFormat="1" ht="15.75" x14ac:dyDescent="0.25">
      <c r="B27" s="150"/>
      <c r="C27" s="150"/>
      <c r="D27" s="150"/>
      <c r="E27" s="151"/>
      <c r="J27" s="167"/>
      <c r="K27" s="173"/>
      <c r="L27" s="144"/>
      <c r="M27" s="174"/>
      <c r="N27" s="173"/>
      <c r="O27" s="144"/>
    </row>
    <row r="28" spans="2:24" s="142" customFormat="1" ht="15.75" x14ac:dyDescent="0.25">
      <c r="B28" s="150"/>
      <c r="C28" s="150"/>
      <c r="D28" s="151"/>
      <c r="I28" s="167"/>
      <c r="J28" s="173"/>
      <c r="K28" s="144"/>
      <c r="L28" s="174"/>
      <c r="M28" s="173"/>
      <c r="N28" s="144"/>
    </row>
    <row r="29" spans="2:24" s="142" customFormat="1" ht="15.75" x14ac:dyDescent="0.25">
      <c r="B29" s="143" t="s">
        <v>319</v>
      </c>
      <c r="C29" s="143"/>
      <c r="D29" s="131"/>
      <c r="E29" s="131"/>
      <c r="F29" s="176" t="s">
        <v>4</v>
      </c>
      <c r="G29" s="145"/>
      <c r="H29" s="176" t="s">
        <v>2</v>
      </c>
      <c r="I29" s="145"/>
    </row>
    <row r="30" spans="2:24" s="142" customFormat="1" ht="15" x14ac:dyDescent="0.25">
      <c r="B30" s="158" t="s">
        <v>13</v>
      </c>
      <c r="C30" s="158"/>
      <c r="D30" s="159"/>
      <c r="E30" s="159"/>
      <c r="F30" s="178" t="s">
        <v>358</v>
      </c>
      <c r="G30" s="160"/>
      <c r="H30" s="178"/>
      <c r="I30" s="160"/>
      <c r="L30" s="172" t="s">
        <v>346</v>
      </c>
      <c r="S30" s="172" t="s">
        <v>181</v>
      </c>
      <c r="V30" s="147" t="s">
        <v>182</v>
      </c>
      <c r="W30" s="165">
        <v>15</v>
      </c>
      <c r="X30" s="155" t="s">
        <v>6</v>
      </c>
    </row>
    <row r="31" spans="2:24" s="142" customFormat="1" ht="15" x14ac:dyDescent="0.25">
      <c r="B31" s="158" t="s">
        <v>331</v>
      </c>
      <c r="C31" s="158"/>
      <c r="D31" s="159"/>
      <c r="E31" s="159"/>
      <c r="F31" s="178">
        <v>5000</v>
      </c>
      <c r="G31" s="160" t="s">
        <v>330</v>
      </c>
      <c r="H31" s="178"/>
      <c r="I31" s="160" t="s">
        <v>330</v>
      </c>
      <c r="L31" s="171" t="s">
        <v>166</v>
      </c>
      <c r="M31" s="146"/>
      <c r="N31" s="148" t="s">
        <v>5</v>
      </c>
      <c r="O31" s="149">
        <v>100</v>
      </c>
      <c r="P31" s="148" t="s">
        <v>5</v>
      </c>
      <c r="Q31" s="156">
        <f>(Q33/(Q32))^2</f>
        <v>110.80332409972301</v>
      </c>
      <c r="R31" s="147" t="s">
        <v>6</v>
      </c>
      <c r="S31" s="171" t="s">
        <v>137</v>
      </c>
      <c r="V31" s="147" t="s">
        <v>183</v>
      </c>
      <c r="W31" s="165">
        <v>20</v>
      </c>
      <c r="X31" s="155" t="s">
        <v>14</v>
      </c>
    </row>
    <row r="32" spans="2:24" s="142" customFormat="1" ht="15" x14ac:dyDescent="0.25">
      <c r="B32" s="161" t="s">
        <v>349</v>
      </c>
      <c r="C32" s="161"/>
      <c r="D32" s="162"/>
      <c r="E32" s="162"/>
      <c r="F32" s="180">
        <v>700</v>
      </c>
      <c r="G32" s="163" t="s">
        <v>6</v>
      </c>
      <c r="H32" s="180"/>
      <c r="I32" s="163" t="s">
        <v>6</v>
      </c>
      <c r="L32" s="171" t="s">
        <v>247</v>
      </c>
      <c r="M32" s="146"/>
      <c r="N32" s="148" t="s">
        <v>7</v>
      </c>
      <c r="O32" s="164">
        <v>285</v>
      </c>
      <c r="P32" s="148" t="s">
        <v>7</v>
      </c>
      <c r="Q32" s="155">
        <v>285</v>
      </c>
      <c r="R32" s="147"/>
      <c r="S32" s="171" t="s">
        <v>184</v>
      </c>
      <c r="V32" s="147" t="s">
        <v>185</v>
      </c>
      <c r="W32" s="165">
        <v>1</v>
      </c>
      <c r="X32" s="147"/>
    </row>
    <row r="33" spans="2:24" s="142" customFormat="1" ht="15" x14ac:dyDescent="0.25">
      <c r="B33" s="161" t="s">
        <v>333</v>
      </c>
      <c r="C33" s="161"/>
      <c r="D33" s="162"/>
      <c r="E33" s="162"/>
      <c r="F33" s="180">
        <v>1453</v>
      </c>
      <c r="G33" s="163" t="s">
        <v>334</v>
      </c>
      <c r="H33" s="180">
        <v>1428</v>
      </c>
      <c r="I33" s="163" t="s">
        <v>334</v>
      </c>
      <c r="L33" s="171" t="s">
        <v>0</v>
      </c>
      <c r="M33" s="146"/>
      <c r="N33" s="148" t="s">
        <v>8</v>
      </c>
      <c r="O33" s="154">
        <f>O32*O31^0.5</f>
        <v>2850</v>
      </c>
      <c r="P33" s="148" t="s">
        <v>8</v>
      </c>
      <c r="Q33" s="155">
        <v>3000</v>
      </c>
      <c r="R33" s="147" t="s">
        <v>330</v>
      </c>
      <c r="S33" s="171" t="s">
        <v>186</v>
      </c>
      <c r="V33" s="147" t="s">
        <v>187</v>
      </c>
      <c r="W33" s="166">
        <f>0.07523*((W30*(W31+273)*W32)^0.5)</f>
        <v>4.9873575163106167</v>
      </c>
      <c r="X33" s="147" t="s">
        <v>43</v>
      </c>
    </row>
    <row r="34" spans="2:24" s="142" customFormat="1" ht="15" x14ac:dyDescent="0.25">
      <c r="B34" s="161" t="s">
        <v>357</v>
      </c>
      <c r="C34" s="161"/>
      <c r="D34" s="162"/>
      <c r="E34" s="162"/>
      <c r="F34" s="180">
        <v>1481</v>
      </c>
      <c r="G34" s="163" t="s">
        <v>334</v>
      </c>
      <c r="H34" s="180"/>
      <c r="I34" s="163"/>
      <c r="L34" s="171" t="s">
        <v>0</v>
      </c>
      <c r="M34" s="146"/>
      <c r="N34" s="148" t="s">
        <v>8</v>
      </c>
      <c r="O34" s="154">
        <f>3.6*O32*(O31^0.5)</f>
        <v>10260</v>
      </c>
    </row>
    <row r="35" spans="2:24" s="142" customFormat="1" ht="15" x14ac:dyDescent="0.25">
      <c r="B35" s="161" t="s">
        <v>350</v>
      </c>
      <c r="C35" s="161"/>
      <c r="D35" s="162"/>
      <c r="E35" s="162"/>
      <c r="F35" s="181">
        <v>43.3</v>
      </c>
      <c r="G35" s="163" t="s">
        <v>36</v>
      </c>
      <c r="H35" s="180"/>
      <c r="I35" s="163"/>
    </row>
    <row r="36" spans="2:24" s="142" customFormat="1" ht="15" x14ac:dyDescent="0.25">
      <c r="B36" s="161" t="s">
        <v>365</v>
      </c>
      <c r="C36" s="161"/>
      <c r="D36" s="162"/>
      <c r="E36" s="162"/>
      <c r="F36" s="180">
        <v>600</v>
      </c>
      <c r="G36" s="163" t="s">
        <v>14</v>
      </c>
      <c r="H36" s="180"/>
      <c r="I36" s="163"/>
    </row>
    <row r="37" spans="2:24" s="142" customFormat="1" ht="15.75" x14ac:dyDescent="0.25">
      <c r="B37" s="143" t="s">
        <v>329</v>
      </c>
      <c r="C37" s="143"/>
      <c r="F37" s="173"/>
      <c r="G37" s="144"/>
      <c r="H37" s="173"/>
      <c r="I37" s="144"/>
      <c r="L37" s="172" t="s">
        <v>348</v>
      </c>
      <c r="S37" s="172" t="s">
        <v>347</v>
      </c>
    </row>
    <row r="38" spans="2:24" s="142" customFormat="1" ht="15" x14ac:dyDescent="0.25">
      <c r="B38" s="158" t="s">
        <v>332</v>
      </c>
      <c r="C38" s="158"/>
      <c r="D38" s="159"/>
      <c r="E38" s="159"/>
      <c r="F38" s="178" t="s">
        <v>359</v>
      </c>
      <c r="G38" s="160"/>
      <c r="H38" s="178"/>
      <c r="I38" s="160"/>
      <c r="L38" s="171" t="s">
        <v>327</v>
      </c>
      <c r="M38" s="147"/>
      <c r="N38" s="147"/>
      <c r="O38" s="155">
        <f>H31</f>
        <v>0</v>
      </c>
      <c r="P38" s="147" t="s">
        <v>330</v>
      </c>
      <c r="S38" s="171" t="s">
        <v>12</v>
      </c>
      <c r="T38" s="169" t="s">
        <v>341</v>
      </c>
      <c r="U38" s="149">
        <v>2040</v>
      </c>
      <c r="V38" s="170" t="s">
        <v>334</v>
      </c>
    </row>
    <row r="39" spans="2:24" s="142" customFormat="1" ht="15" x14ac:dyDescent="0.25">
      <c r="B39" s="161" t="s">
        <v>351</v>
      </c>
      <c r="C39" s="161"/>
      <c r="D39" s="162"/>
      <c r="E39" s="162"/>
      <c r="F39" s="181">
        <v>2.2000000000000002</v>
      </c>
      <c r="G39" s="163" t="s">
        <v>1</v>
      </c>
      <c r="H39" s="201">
        <v>2.2999999999999998</v>
      </c>
      <c r="I39" s="163" t="s">
        <v>1</v>
      </c>
      <c r="L39" s="171" t="s">
        <v>336</v>
      </c>
      <c r="M39" s="147"/>
      <c r="N39" s="147"/>
      <c r="O39" s="155">
        <f>H32</f>
        <v>0</v>
      </c>
      <c r="P39" s="147" t="s">
        <v>6</v>
      </c>
      <c r="S39" s="171" t="s">
        <v>342</v>
      </c>
      <c r="T39" s="169" t="s">
        <v>343</v>
      </c>
      <c r="U39" s="149">
        <v>1560</v>
      </c>
      <c r="V39" s="170" t="s">
        <v>334</v>
      </c>
    </row>
    <row r="40" spans="2:24" s="142" customFormat="1" ht="15" x14ac:dyDescent="0.25">
      <c r="B40" s="161" t="s">
        <v>352</v>
      </c>
      <c r="C40" s="161"/>
      <c r="D40" s="162"/>
      <c r="E40" s="162"/>
      <c r="F40" s="182">
        <v>4.9000000000000004</v>
      </c>
      <c r="G40" s="163" t="s">
        <v>32</v>
      </c>
      <c r="H40" s="182">
        <v>4.49</v>
      </c>
      <c r="I40" s="163" t="s">
        <v>32</v>
      </c>
      <c r="L40" s="171" t="s">
        <v>337</v>
      </c>
      <c r="M40" s="147"/>
      <c r="N40" s="147"/>
      <c r="O40" s="147">
        <v>0.8</v>
      </c>
      <c r="P40" s="147" t="s">
        <v>338</v>
      </c>
      <c r="S40" s="171" t="s">
        <v>12</v>
      </c>
      <c r="T40" s="169" t="s">
        <v>344</v>
      </c>
      <c r="U40" s="149">
        <v>195</v>
      </c>
      <c r="V40" s="147" t="s">
        <v>330</v>
      </c>
    </row>
    <row r="41" spans="2:24" s="142" customFormat="1" ht="15" x14ac:dyDescent="0.25">
      <c r="B41" s="161" t="s">
        <v>353</v>
      </c>
      <c r="C41" s="161"/>
      <c r="D41" s="162"/>
      <c r="E41" s="162"/>
      <c r="F41" s="182" t="s">
        <v>360</v>
      </c>
      <c r="G41" s="163" t="s">
        <v>354</v>
      </c>
      <c r="H41" s="182"/>
      <c r="I41" s="163"/>
      <c r="L41" s="171" t="s">
        <v>339</v>
      </c>
      <c r="M41" s="147"/>
      <c r="N41" s="147"/>
      <c r="O41" s="147">
        <v>0.65</v>
      </c>
      <c r="P41" s="147" t="s">
        <v>338</v>
      </c>
      <c r="S41" s="171" t="s">
        <v>342</v>
      </c>
      <c r="T41" s="169" t="s">
        <v>345</v>
      </c>
      <c r="U41" s="153">
        <f>U40*U39^2/U38^2</f>
        <v>114.03114186851211</v>
      </c>
      <c r="V41" s="147" t="s">
        <v>330</v>
      </c>
    </row>
    <row r="42" spans="2:24" s="142" customFormat="1" ht="15" x14ac:dyDescent="0.25">
      <c r="B42" s="161" t="s">
        <v>355</v>
      </c>
      <c r="C42" s="161"/>
      <c r="D42" s="162"/>
      <c r="E42" s="162"/>
      <c r="F42" s="180">
        <v>50</v>
      </c>
      <c r="G42" s="163" t="s">
        <v>356</v>
      </c>
      <c r="H42" s="182"/>
      <c r="I42" s="163"/>
      <c r="L42" s="171" t="s">
        <v>340</v>
      </c>
      <c r="M42" s="147"/>
      <c r="N42" s="147"/>
      <c r="O42" s="168">
        <f>(O38/3600*O39)/(O40*O41)</f>
        <v>0</v>
      </c>
      <c r="P42" s="147" t="s">
        <v>30</v>
      </c>
      <c r="S42" s="183"/>
      <c r="T42" s="169"/>
      <c r="U42" s="153"/>
      <c r="V42" s="147"/>
    </row>
    <row r="43" spans="2:24" s="142" customFormat="1" ht="15.75" x14ac:dyDescent="0.25">
      <c r="B43" s="150"/>
      <c r="C43" s="150"/>
      <c r="D43" s="150"/>
      <c r="E43" s="151"/>
      <c r="J43" s="167"/>
      <c r="K43" s="173"/>
      <c r="L43" s="144"/>
      <c r="M43" s="174"/>
      <c r="N43" s="173"/>
      <c r="O43" s="144"/>
    </row>
    <row r="44" spans="2:24" s="142" customFormat="1" ht="15.75" x14ac:dyDescent="0.25">
      <c r="B44" s="150"/>
      <c r="C44" s="150"/>
      <c r="D44" s="150"/>
      <c r="E44" s="151"/>
      <c r="J44" s="167"/>
      <c r="K44" s="173"/>
      <c r="L44" s="144"/>
      <c r="M44" s="174"/>
      <c r="N44" s="173"/>
      <c r="O44" s="144"/>
    </row>
    <row r="45" spans="2:24" s="142" customFormat="1" ht="15.75" x14ac:dyDescent="0.25">
      <c r="B45" s="150"/>
      <c r="C45" s="150"/>
      <c r="D45" s="150"/>
      <c r="E45" s="151"/>
      <c r="J45" s="167"/>
      <c r="K45" s="173"/>
      <c r="L45" s="144"/>
      <c r="M45" s="174"/>
      <c r="N45" s="173"/>
      <c r="O45" s="144"/>
    </row>
    <row r="46" spans="2:24" s="142" customFormat="1" ht="15.75" x14ac:dyDescent="0.25">
      <c r="B46" s="150"/>
      <c r="C46" s="150"/>
      <c r="D46" s="150"/>
      <c r="E46" s="151"/>
      <c r="J46" s="167"/>
      <c r="K46" s="173"/>
      <c r="L46" s="144"/>
      <c r="M46" s="174"/>
      <c r="N46" s="173"/>
      <c r="O46" s="144"/>
    </row>
    <row r="47" spans="2:24" s="142" customFormat="1" ht="15.75" x14ac:dyDescent="0.25">
      <c r="B47" s="150"/>
      <c r="C47" s="150"/>
      <c r="D47" s="150"/>
      <c r="E47" s="151"/>
      <c r="J47" s="167"/>
      <c r="K47" s="173"/>
      <c r="L47" s="144"/>
      <c r="M47" s="174"/>
      <c r="N47" s="173"/>
      <c r="O47" s="144"/>
    </row>
    <row r="48" spans="2:24" s="142" customFormat="1" ht="15.75" x14ac:dyDescent="0.25">
      <c r="B48" s="150"/>
      <c r="C48" s="150"/>
      <c r="D48" s="150"/>
      <c r="E48" s="151"/>
      <c r="J48" s="167"/>
      <c r="K48" s="173"/>
      <c r="L48" s="144"/>
      <c r="M48" s="174"/>
      <c r="N48" s="173"/>
      <c r="O48" s="144"/>
    </row>
    <row r="49" spans="2:27" s="142" customFormat="1" ht="15.75" x14ac:dyDescent="0.25">
      <c r="B49" s="150"/>
      <c r="C49" s="150"/>
      <c r="D49" s="150"/>
      <c r="E49" s="151"/>
      <c r="J49" s="167"/>
      <c r="K49" s="173"/>
      <c r="L49" s="144"/>
      <c r="M49" s="174"/>
      <c r="N49" s="173"/>
      <c r="O49" s="144"/>
    </row>
    <row r="50" spans="2:27" s="142" customFormat="1" ht="15.75" x14ac:dyDescent="0.25">
      <c r="B50" s="150"/>
      <c r="C50" s="150"/>
      <c r="D50" s="150"/>
      <c r="E50" s="151"/>
      <c r="J50" s="167"/>
      <c r="K50" s="173"/>
      <c r="L50" s="144"/>
      <c r="M50" s="174"/>
      <c r="N50" s="173"/>
      <c r="O50" s="144"/>
    </row>
    <row r="51" spans="2:27" s="142" customFormat="1" ht="15.75" x14ac:dyDescent="0.25">
      <c r="B51" s="150"/>
      <c r="C51" s="150"/>
      <c r="D51" s="150"/>
      <c r="E51" s="151"/>
      <c r="J51" s="167"/>
      <c r="K51" s="173"/>
      <c r="L51" s="144"/>
      <c r="M51" s="174"/>
      <c r="N51" s="173"/>
      <c r="O51" s="144"/>
    </row>
    <row r="52" spans="2:27" s="142" customFormat="1" ht="15.75" x14ac:dyDescent="0.25">
      <c r="B52" s="150"/>
      <c r="C52" s="150"/>
      <c r="D52" s="150"/>
      <c r="E52" s="151"/>
      <c r="J52" s="167"/>
      <c r="K52" s="173"/>
      <c r="L52" s="144"/>
      <c r="M52" s="174"/>
      <c r="N52" s="173"/>
      <c r="O52" s="144"/>
    </row>
    <row r="53" spans="2:27" s="142" customFormat="1" ht="15.75" x14ac:dyDescent="0.25">
      <c r="B53" s="150"/>
      <c r="C53" s="150"/>
      <c r="D53" s="150"/>
      <c r="E53" s="151"/>
      <c r="J53" s="167"/>
      <c r="K53" s="173"/>
      <c r="L53" s="144"/>
      <c r="M53" s="174"/>
      <c r="N53" s="173"/>
      <c r="O53" s="144"/>
    </row>
    <row r="54" spans="2:27" s="142" customFormat="1" ht="15.75" x14ac:dyDescent="0.25">
      <c r="B54" s="150"/>
      <c r="C54" s="150"/>
      <c r="D54" s="151"/>
      <c r="I54" s="167"/>
      <c r="J54" s="173"/>
      <c r="K54" s="144"/>
      <c r="L54" s="174"/>
      <c r="M54" s="173"/>
      <c r="N54" s="144"/>
    </row>
    <row r="55" spans="2:27" s="142" customFormat="1" ht="15.75" x14ac:dyDescent="0.25">
      <c r="B55" s="143" t="s">
        <v>319</v>
      </c>
      <c r="C55" s="143"/>
      <c r="D55" s="131"/>
      <c r="E55" s="131"/>
      <c r="F55" s="132"/>
      <c r="G55" s="176" t="s">
        <v>4</v>
      </c>
      <c r="H55" s="145"/>
      <c r="I55" s="176" t="s">
        <v>2</v>
      </c>
      <c r="J55" s="145"/>
    </row>
    <row r="56" spans="2:27" s="142" customFormat="1" ht="15" x14ac:dyDescent="0.25">
      <c r="B56" s="158" t="s">
        <v>13</v>
      </c>
      <c r="C56" s="158"/>
      <c r="D56" s="159"/>
      <c r="E56" s="159"/>
      <c r="F56" s="177"/>
      <c r="G56" s="178" t="s">
        <v>358</v>
      </c>
      <c r="H56" s="160"/>
      <c r="I56" s="178"/>
      <c r="J56" s="160"/>
      <c r="M56" s="172" t="s">
        <v>346</v>
      </c>
      <c r="V56" s="172" t="s">
        <v>181</v>
      </c>
      <c r="Y56" s="147" t="s">
        <v>182</v>
      </c>
      <c r="Z56" s="165">
        <v>15</v>
      </c>
      <c r="AA56" s="155" t="s">
        <v>6</v>
      </c>
    </row>
    <row r="57" spans="2:27" s="142" customFormat="1" ht="15" x14ac:dyDescent="0.25">
      <c r="B57" s="158" t="s">
        <v>331</v>
      </c>
      <c r="C57" s="158"/>
      <c r="D57" s="159"/>
      <c r="E57" s="159"/>
      <c r="F57" s="177"/>
      <c r="G57" s="178"/>
      <c r="H57" s="160" t="s">
        <v>330</v>
      </c>
      <c r="I57" s="178"/>
      <c r="J57" s="160" t="s">
        <v>330</v>
      </c>
      <c r="M57" s="171" t="s">
        <v>166</v>
      </c>
      <c r="N57" s="146"/>
      <c r="O57" s="148" t="s">
        <v>5</v>
      </c>
      <c r="P57" s="149">
        <v>100</v>
      </c>
      <c r="Q57" s="148" t="s">
        <v>5</v>
      </c>
      <c r="R57" s="156">
        <f>(R59/(R58))^2</f>
        <v>110.80332409972301</v>
      </c>
      <c r="S57" s="147" t="s">
        <v>6</v>
      </c>
      <c r="V57" s="171" t="s">
        <v>137</v>
      </c>
      <c r="Y57" s="147" t="s">
        <v>183</v>
      </c>
      <c r="Z57" s="165">
        <v>20</v>
      </c>
      <c r="AA57" s="155" t="s">
        <v>14</v>
      </c>
    </row>
    <row r="58" spans="2:27" s="142" customFormat="1" ht="15" x14ac:dyDescent="0.25">
      <c r="B58" s="161" t="s">
        <v>349</v>
      </c>
      <c r="C58" s="161"/>
      <c r="D58" s="162"/>
      <c r="E58" s="162"/>
      <c r="F58" s="179"/>
      <c r="G58" s="180"/>
      <c r="H58" s="163" t="s">
        <v>6</v>
      </c>
      <c r="I58" s="180"/>
      <c r="J58" s="163" t="s">
        <v>6</v>
      </c>
      <c r="M58" s="171" t="s">
        <v>247</v>
      </c>
      <c r="N58" s="146"/>
      <c r="O58" s="148" t="s">
        <v>7</v>
      </c>
      <c r="P58" s="164">
        <v>285</v>
      </c>
      <c r="Q58" s="148" t="s">
        <v>7</v>
      </c>
      <c r="R58" s="155">
        <v>285</v>
      </c>
      <c r="S58" s="147"/>
      <c r="V58" s="171" t="s">
        <v>184</v>
      </c>
      <c r="Y58" s="147" t="s">
        <v>185</v>
      </c>
      <c r="Z58" s="165">
        <v>1</v>
      </c>
      <c r="AA58" s="147"/>
    </row>
    <row r="59" spans="2:27" s="142" customFormat="1" ht="15" x14ac:dyDescent="0.25">
      <c r="B59" s="161" t="s">
        <v>333</v>
      </c>
      <c r="C59" s="161"/>
      <c r="D59" s="162"/>
      <c r="E59" s="162"/>
      <c r="F59" s="179"/>
      <c r="G59" s="180"/>
      <c r="H59" s="163" t="s">
        <v>334</v>
      </c>
      <c r="I59" s="180"/>
      <c r="J59" s="163" t="s">
        <v>334</v>
      </c>
      <c r="M59" s="171" t="s">
        <v>0</v>
      </c>
      <c r="N59" s="146"/>
      <c r="O59" s="148" t="s">
        <v>8</v>
      </c>
      <c r="P59" s="154">
        <f>P58*P57^0.5</f>
        <v>2850</v>
      </c>
      <c r="Q59" s="148" t="s">
        <v>8</v>
      </c>
      <c r="R59" s="155">
        <v>3000</v>
      </c>
      <c r="S59" s="147" t="s">
        <v>330</v>
      </c>
      <c r="V59" s="171" t="s">
        <v>186</v>
      </c>
      <c r="Y59" s="147" t="s">
        <v>187</v>
      </c>
      <c r="Z59" s="166">
        <f>0.07523*((Z56*(Z57+273)*Z58)^0.5)</f>
        <v>4.9873575163106167</v>
      </c>
      <c r="AA59" s="147" t="s">
        <v>43</v>
      </c>
    </row>
    <row r="60" spans="2:27" s="142" customFormat="1" ht="15" x14ac:dyDescent="0.25">
      <c r="B60" s="161" t="s">
        <v>357</v>
      </c>
      <c r="C60" s="161"/>
      <c r="D60" s="162"/>
      <c r="E60" s="162"/>
      <c r="F60" s="179"/>
      <c r="G60" s="180"/>
      <c r="H60" s="163" t="s">
        <v>334</v>
      </c>
      <c r="I60" s="180"/>
      <c r="J60" s="163"/>
      <c r="M60" s="171" t="s">
        <v>0</v>
      </c>
      <c r="N60" s="146"/>
      <c r="O60" s="148" t="s">
        <v>8</v>
      </c>
      <c r="P60" s="154">
        <f>3.6*P58*(P57^0.5)</f>
        <v>10260</v>
      </c>
    </row>
    <row r="61" spans="2:27" s="142" customFormat="1" ht="15" x14ac:dyDescent="0.25">
      <c r="B61" s="161" t="s">
        <v>350</v>
      </c>
      <c r="C61" s="161"/>
      <c r="D61" s="162"/>
      <c r="E61" s="162"/>
      <c r="F61" s="179"/>
      <c r="G61" s="181"/>
      <c r="H61" s="163" t="s">
        <v>36</v>
      </c>
      <c r="I61" s="180"/>
      <c r="J61" s="163"/>
    </row>
    <row r="62" spans="2:27" s="142" customFormat="1" ht="15" x14ac:dyDescent="0.25">
      <c r="B62" s="161" t="s">
        <v>365</v>
      </c>
      <c r="C62" s="161"/>
      <c r="D62" s="162"/>
      <c r="E62" s="162"/>
      <c r="F62" s="179"/>
      <c r="G62" s="180"/>
      <c r="H62" s="163" t="s">
        <v>14</v>
      </c>
      <c r="I62" s="180"/>
      <c r="J62" s="163"/>
    </row>
    <row r="63" spans="2:27" s="142" customFormat="1" ht="15.75" x14ac:dyDescent="0.25">
      <c r="B63" s="143" t="s">
        <v>329</v>
      </c>
      <c r="C63" s="143"/>
      <c r="F63" s="167"/>
      <c r="G63" s="173"/>
      <c r="H63" s="144"/>
      <c r="I63" s="173"/>
      <c r="J63" s="144"/>
      <c r="M63" s="172" t="s">
        <v>348</v>
      </c>
      <c r="V63" s="172" t="s">
        <v>347</v>
      </c>
    </row>
    <row r="64" spans="2:27" s="142" customFormat="1" ht="15" x14ac:dyDescent="0.25">
      <c r="B64" s="158" t="s">
        <v>332</v>
      </c>
      <c r="C64" s="158"/>
      <c r="D64" s="159"/>
      <c r="E64" s="159"/>
      <c r="F64" s="177"/>
      <c r="G64" s="178"/>
      <c r="H64" s="160"/>
      <c r="I64" s="178"/>
      <c r="J64" s="160"/>
      <c r="M64" s="171" t="s">
        <v>327</v>
      </c>
      <c r="N64" s="147"/>
      <c r="O64" s="147"/>
      <c r="P64" s="155">
        <f>I57</f>
        <v>0</v>
      </c>
      <c r="Q64" s="147" t="s">
        <v>330</v>
      </c>
      <c r="V64" s="171" t="s">
        <v>12</v>
      </c>
      <c r="W64" s="169" t="s">
        <v>341</v>
      </c>
      <c r="X64" s="149">
        <v>2040</v>
      </c>
      <c r="Y64" s="170" t="s">
        <v>334</v>
      </c>
    </row>
    <row r="65" spans="2:25" s="142" customFormat="1" ht="15" x14ac:dyDescent="0.25">
      <c r="B65" s="161" t="s">
        <v>351</v>
      </c>
      <c r="C65" s="161"/>
      <c r="D65" s="162"/>
      <c r="E65" s="162"/>
      <c r="F65" s="179"/>
      <c r="G65" s="181"/>
      <c r="H65" s="163" t="s">
        <v>1</v>
      </c>
      <c r="I65" s="201"/>
      <c r="J65" s="163" t="s">
        <v>1</v>
      </c>
      <c r="M65" s="171" t="s">
        <v>336</v>
      </c>
      <c r="N65" s="147"/>
      <c r="O65" s="147"/>
      <c r="P65" s="155">
        <f>I58</f>
        <v>0</v>
      </c>
      <c r="Q65" s="147" t="s">
        <v>6</v>
      </c>
      <c r="V65" s="171" t="s">
        <v>342</v>
      </c>
      <c r="W65" s="169" t="s">
        <v>343</v>
      </c>
      <c r="X65" s="149">
        <v>1560</v>
      </c>
      <c r="Y65" s="170" t="s">
        <v>334</v>
      </c>
    </row>
    <row r="66" spans="2:25" s="142" customFormat="1" ht="15" x14ac:dyDescent="0.25">
      <c r="B66" s="161" t="s">
        <v>352</v>
      </c>
      <c r="C66" s="161"/>
      <c r="D66" s="162"/>
      <c r="E66" s="162"/>
      <c r="F66" s="179"/>
      <c r="G66" s="182"/>
      <c r="H66" s="163" t="s">
        <v>32</v>
      </c>
      <c r="I66" s="182"/>
      <c r="J66" s="163" t="s">
        <v>32</v>
      </c>
      <c r="M66" s="171" t="s">
        <v>337</v>
      </c>
      <c r="N66" s="147"/>
      <c r="O66" s="147"/>
      <c r="P66" s="147">
        <v>0.8</v>
      </c>
      <c r="Q66" s="147" t="s">
        <v>338</v>
      </c>
      <c r="V66" s="171" t="s">
        <v>12</v>
      </c>
      <c r="W66" s="169" t="s">
        <v>344</v>
      </c>
      <c r="X66" s="149">
        <v>195</v>
      </c>
      <c r="Y66" s="147" t="s">
        <v>330</v>
      </c>
    </row>
    <row r="67" spans="2:25" s="142" customFormat="1" ht="15" x14ac:dyDescent="0.25">
      <c r="B67" s="161" t="s">
        <v>353</v>
      </c>
      <c r="C67" s="161"/>
      <c r="D67" s="162"/>
      <c r="E67" s="162"/>
      <c r="F67" s="179"/>
      <c r="G67" s="182"/>
      <c r="H67" s="163" t="s">
        <v>354</v>
      </c>
      <c r="I67" s="182"/>
      <c r="J67" s="163"/>
      <c r="M67" s="171" t="s">
        <v>339</v>
      </c>
      <c r="N67" s="147"/>
      <c r="O67" s="147"/>
      <c r="P67" s="147">
        <v>0.65</v>
      </c>
      <c r="Q67" s="147" t="s">
        <v>338</v>
      </c>
      <c r="V67" s="171" t="s">
        <v>342</v>
      </c>
      <c r="W67" s="169" t="s">
        <v>345</v>
      </c>
      <c r="X67" s="153">
        <f>X66*X65^2/X64^2</f>
        <v>114.03114186851211</v>
      </c>
      <c r="Y67" s="147" t="s">
        <v>330</v>
      </c>
    </row>
    <row r="68" spans="2:25" s="142" customFormat="1" ht="15" x14ac:dyDescent="0.25">
      <c r="B68" s="161" t="s">
        <v>355</v>
      </c>
      <c r="C68" s="161"/>
      <c r="D68" s="162"/>
      <c r="E68" s="162"/>
      <c r="F68" s="179"/>
      <c r="G68" s="180"/>
      <c r="H68" s="163" t="s">
        <v>356</v>
      </c>
      <c r="I68" s="182"/>
      <c r="J68" s="163"/>
      <c r="M68" s="171" t="s">
        <v>340</v>
      </c>
      <c r="N68" s="147"/>
      <c r="O68" s="147"/>
      <c r="P68" s="168">
        <f>(P64/3600*P65)/(P66*P67)</f>
        <v>0</v>
      </c>
      <c r="Q68" s="147" t="s">
        <v>30</v>
      </c>
      <c r="V68" s="183"/>
      <c r="W68" s="169"/>
      <c r="X68" s="153"/>
      <c r="Y68" s="147"/>
    </row>
    <row r="69" spans="2:25" ht="20.25" customHeight="1" x14ac:dyDescent="0.25">
      <c r="M69" s="129"/>
      <c r="N69" s="125"/>
    </row>
    <row r="70" spans="2:25" ht="20.25" customHeight="1" x14ac:dyDescent="0.25">
      <c r="M70" s="129"/>
      <c r="N70" s="125"/>
    </row>
  </sheetData>
  <mergeCells count="6">
    <mergeCell ref="J3:J4"/>
    <mergeCell ref="C3:C5"/>
    <mergeCell ref="B3:B5"/>
    <mergeCell ref="G3:G4"/>
    <mergeCell ref="H3:H4"/>
    <mergeCell ref="I3:I4"/>
  </mergeCells>
  <phoneticPr fontId="46" type="noConversion"/>
  <dataValidations count="4">
    <dataValidation type="list" allowBlank="1" showInputMessage="1" sqref="H65 J65 G39 I39" xr:uid="{05D8A671-97AC-4F76-A94A-1C71B472D04E}">
      <formula1>"W, kW"</formula1>
    </dataValidation>
    <dataValidation type="list" allowBlank="1" showInputMessage="1" sqref="G56 F30" xr:uid="{80C5DD3E-5D35-4B0E-AE92-48F353028081}">
      <formula1>"centrbēdzes, ar sīksies piedzinu, jumta ventilators,"</formula1>
    </dataValidation>
    <dataValidation type="list" allowBlank="1" showInputMessage="1" showErrorMessage="1" sqref="G64 F38" xr:uid="{4DD2E060-6B59-4D3C-A0F8-0FA3825E1AB8}">
      <formula1>"EC, PM"</formula1>
    </dataValidation>
    <dataValidation type="list" allowBlank="1" showInputMessage="1" sqref="G67 F41" xr:uid="{034AB54F-B810-4002-A20D-C3AB817B508C}">
      <formula1>"3x400, 1x230"</formula1>
    </dataValidation>
  </dataValidations>
  <pageMargins left="0.25" right="0.2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63D9-9C67-45A9-8B6B-D4FDA89BF42E}">
  <sheetPr>
    <pageSetUpPr fitToPage="1"/>
  </sheetPr>
  <dimension ref="B2:AA65"/>
  <sheetViews>
    <sheetView showGridLines="0" zoomScale="55" zoomScaleNormal="55" zoomScaleSheetLayoutView="85" workbookViewId="0">
      <selection activeCell="R40" sqref="R40"/>
    </sheetView>
  </sheetViews>
  <sheetFormatPr defaultColWidth="8.7109375" defaultRowHeight="20.25" customHeight="1" x14ac:dyDescent="0.25"/>
  <cols>
    <col min="1" max="1" width="1.42578125" style="125" customWidth="1"/>
    <col min="2" max="2" width="10.5703125" style="125" customWidth="1"/>
    <col min="3" max="3" width="12" style="125" customWidth="1"/>
    <col min="4" max="7" width="11.5703125" style="125" customWidth="1"/>
    <col min="8" max="8" width="13.28515625" style="125" customWidth="1"/>
    <col min="9" max="9" width="14.28515625" style="125" customWidth="1"/>
    <col min="10" max="10" width="11.42578125" style="125" customWidth="1"/>
    <col min="11" max="11" width="5.5703125" style="125" customWidth="1"/>
    <col min="12" max="12" width="8.7109375" style="129"/>
    <col min="13" max="16384" width="8.7109375" style="125"/>
  </cols>
  <sheetData>
    <row r="2" spans="2:12" ht="20.25" customHeight="1" x14ac:dyDescent="0.25">
      <c r="B2" s="139" t="s">
        <v>324</v>
      </c>
      <c r="C2" s="134"/>
      <c r="D2" s="134"/>
      <c r="E2" s="196"/>
      <c r="F2" s="134"/>
      <c r="G2" s="134"/>
      <c r="H2" s="134"/>
      <c r="I2" s="134"/>
      <c r="J2" s="134"/>
    </row>
    <row r="3" spans="2:12" ht="20.25" customHeight="1" x14ac:dyDescent="0.25">
      <c r="B3" s="139" t="s">
        <v>361</v>
      </c>
    </row>
    <row r="4" spans="2:12" s="126" customFormat="1" ht="20.25" customHeight="1" x14ac:dyDescent="0.25">
      <c r="B4" s="206" t="s">
        <v>18</v>
      </c>
      <c r="C4" s="206" t="s">
        <v>320</v>
      </c>
      <c r="D4" s="187" t="s">
        <v>326</v>
      </c>
      <c r="E4" s="141"/>
      <c r="F4" s="188"/>
      <c r="G4" s="204" t="s">
        <v>325</v>
      </c>
      <c r="H4" s="204" t="s">
        <v>19</v>
      </c>
      <c r="I4" s="206" t="s">
        <v>205</v>
      </c>
      <c r="J4" s="206" t="s">
        <v>20</v>
      </c>
      <c r="L4" s="130"/>
    </row>
    <row r="5" spans="2:12" s="126" customFormat="1" ht="20.25" customHeight="1" x14ac:dyDescent="0.25">
      <c r="B5" s="207"/>
      <c r="C5" s="207"/>
      <c r="D5" s="140" t="s">
        <v>321</v>
      </c>
      <c r="E5" s="140" t="s">
        <v>322</v>
      </c>
      <c r="F5" s="186" t="s">
        <v>303</v>
      </c>
      <c r="G5" s="205"/>
      <c r="H5" s="205"/>
      <c r="I5" s="207"/>
      <c r="J5" s="207"/>
      <c r="L5" s="130"/>
    </row>
    <row r="6" spans="2:12" s="126" customFormat="1" ht="20.25" customHeight="1" x14ac:dyDescent="0.25">
      <c r="B6" s="186" t="s">
        <v>323</v>
      </c>
      <c r="C6" s="186" t="s">
        <v>323</v>
      </c>
      <c r="D6" s="140" t="s">
        <v>160</v>
      </c>
      <c r="E6" s="140" t="s">
        <v>160</v>
      </c>
      <c r="F6" s="186" t="s">
        <v>55</v>
      </c>
      <c r="G6" s="140" t="s">
        <v>43</v>
      </c>
      <c r="H6" s="140" t="s">
        <v>10</v>
      </c>
      <c r="I6" s="186" t="s">
        <v>10</v>
      </c>
      <c r="J6" s="186" t="s">
        <v>36</v>
      </c>
      <c r="L6" s="130"/>
    </row>
    <row r="7" spans="2:12" ht="20.25" customHeight="1" x14ac:dyDescent="0.25">
      <c r="B7" s="189">
        <v>1</v>
      </c>
      <c r="C7" s="190">
        <v>-2</v>
      </c>
      <c r="D7" s="127">
        <v>970</v>
      </c>
      <c r="E7" s="127">
        <v>270</v>
      </c>
      <c r="F7" s="192">
        <f>IF(D7&gt;0,D7/1000*E7/1000," ")</f>
        <v>0.26189999999999997</v>
      </c>
      <c r="G7" s="128">
        <v>18</v>
      </c>
      <c r="H7" s="127">
        <v>15000</v>
      </c>
      <c r="I7" s="191">
        <f>IF(G7&gt;0,F7*G7*3600," ")</f>
        <v>16971.119999999995</v>
      </c>
      <c r="J7" s="191">
        <f>IF(G7&gt;0,I7*100/H7-100," ")</f>
        <v>13.14079999999997</v>
      </c>
    </row>
    <row r="8" spans="2:12" ht="20.25" customHeight="1" x14ac:dyDescent="0.25">
      <c r="B8" s="189">
        <v>2</v>
      </c>
      <c r="C8" s="190"/>
      <c r="D8" s="127"/>
      <c r="E8" s="127"/>
      <c r="F8" s="192" t="str">
        <f t="shared" ref="F8:F11" si="0">IF(D8&gt;0,D8/1000*E8/1000," ")</f>
        <v xml:space="preserve"> </v>
      </c>
      <c r="G8" s="128"/>
      <c r="H8" s="127"/>
      <c r="I8" s="191" t="str">
        <f>IF(G8&gt;0,F8*G8*3600," ")</f>
        <v xml:space="preserve"> </v>
      </c>
      <c r="J8" s="191" t="str">
        <f t="shared" ref="J8:J11" si="1">IF(G8&gt;0,I8*100/H8-100," ")</f>
        <v xml:space="preserve"> </v>
      </c>
    </row>
    <row r="9" spans="2:12" ht="20.25" customHeight="1" x14ac:dyDescent="0.25">
      <c r="B9" s="189">
        <v>3</v>
      </c>
      <c r="C9" s="190"/>
      <c r="D9" s="127"/>
      <c r="E9" s="127"/>
      <c r="F9" s="192" t="str">
        <f t="shared" si="0"/>
        <v xml:space="preserve"> </v>
      </c>
      <c r="G9" s="128"/>
      <c r="H9" s="127"/>
      <c r="I9" s="191" t="str">
        <f>IF(G9&gt;0,F9*G9*3600," ")</f>
        <v xml:space="preserve"> </v>
      </c>
      <c r="J9" s="191" t="str">
        <f t="shared" si="1"/>
        <v xml:space="preserve"> </v>
      </c>
    </row>
    <row r="10" spans="2:12" ht="20.25" customHeight="1" x14ac:dyDescent="0.25">
      <c r="B10" s="189">
        <v>4</v>
      </c>
      <c r="C10" s="190"/>
      <c r="D10" s="127"/>
      <c r="E10" s="127"/>
      <c r="F10" s="192" t="str">
        <f t="shared" si="0"/>
        <v xml:space="preserve"> </v>
      </c>
      <c r="G10" s="128"/>
      <c r="H10" s="127"/>
      <c r="I10" s="191" t="str">
        <f>IF(G10&gt;0,F10*G10*3600," ")</f>
        <v xml:space="preserve"> </v>
      </c>
      <c r="J10" s="191" t="str">
        <f t="shared" si="1"/>
        <v xml:space="preserve"> </v>
      </c>
    </row>
    <row r="11" spans="2:12" ht="20.25" customHeight="1" x14ac:dyDescent="0.25">
      <c r="B11" s="189">
        <v>5</v>
      </c>
      <c r="C11" s="190"/>
      <c r="D11" s="127"/>
      <c r="E11" s="127"/>
      <c r="F11" s="192" t="str">
        <f t="shared" si="0"/>
        <v xml:space="preserve"> </v>
      </c>
      <c r="G11" s="128"/>
      <c r="H11" s="135"/>
      <c r="I11" s="193" t="str">
        <f t="shared" ref="I11" si="2">IF(G11&gt;0,F11*G11*3600," ")</f>
        <v xml:space="preserve"> </v>
      </c>
      <c r="J11" s="191" t="str">
        <f t="shared" si="1"/>
        <v xml:space="preserve"> </v>
      </c>
    </row>
    <row r="12" spans="2:12" ht="20.25" customHeight="1" x14ac:dyDescent="0.25">
      <c r="C12" s="136"/>
      <c r="D12" s="137"/>
      <c r="E12" s="137"/>
      <c r="F12" s="138"/>
      <c r="G12" s="136" t="s">
        <v>17</v>
      </c>
      <c r="H12" s="127">
        <f>SUM(H7:H11)</f>
        <v>15000</v>
      </c>
      <c r="I12" s="127">
        <f>SUM(I7:I11)</f>
        <v>16971.119999999995</v>
      </c>
      <c r="J12" s="127">
        <f>IF(H12&gt;0,I12*100/H12-100," ")</f>
        <v>13.14079999999997</v>
      </c>
    </row>
    <row r="13" spans="2:12" ht="20.25" customHeight="1" x14ac:dyDescent="0.25">
      <c r="C13" s="194"/>
      <c r="D13" s="185"/>
      <c r="E13" s="185"/>
      <c r="F13" s="195"/>
      <c r="G13" s="194"/>
    </row>
    <row r="14" spans="2:12" ht="20.25" customHeight="1" x14ac:dyDescent="0.25">
      <c r="B14" s="139" t="s">
        <v>362</v>
      </c>
    </row>
    <row r="15" spans="2:12" s="126" customFormat="1" ht="20.25" customHeight="1" x14ac:dyDescent="0.25">
      <c r="B15" s="206" t="s">
        <v>18</v>
      </c>
      <c r="C15" s="206" t="s">
        <v>320</v>
      </c>
      <c r="D15" s="187" t="s">
        <v>326</v>
      </c>
      <c r="E15" s="141"/>
      <c r="F15" s="188"/>
      <c r="G15" s="204" t="s">
        <v>325</v>
      </c>
      <c r="H15" s="204" t="s">
        <v>19</v>
      </c>
      <c r="I15" s="206" t="s">
        <v>205</v>
      </c>
      <c r="J15" s="206" t="s">
        <v>20</v>
      </c>
      <c r="L15" s="130"/>
    </row>
    <row r="16" spans="2:12" s="126" customFormat="1" ht="20.25" customHeight="1" x14ac:dyDescent="0.25">
      <c r="B16" s="207"/>
      <c r="C16" s="207"/>
      <c r="D16" s="140" t="s">
        <v>321</v>
      </c>
      <c r="E16" s="140" t="s">
        <v>322</v>
      </c>
      <c r="F16" s="186" t="s">
        <v>303</v>
      </c>
      <c r="G16" s="205"/>
      <c r="H16" s="205"/>
      <c r="I16" s="207"/>
      <c r="J16" s="207"/>
      <c r="L16" s="130"/>
    </row>
    <row r="17" spans="2:12" s="126" customFormat="1" ht="20.25" customHeight="1" x14ac:dyDescent="0.25">
      <c r="B17" s="186" t="s">
        <v>323</v>
      </c>
      <c r="C17" s="186" t="s">
        <v>323</v>
      </c>
      <c r="D17" s="140" t="s">
        <v>160</v>
      </c>
      <c r="E17" s="140" t="s">
        <v>160</v>
      </c>
      <c r="F17" s="186" t="s">
        <v>55</v>
      </c>
      <c r="G17" s="140" t="s">
        <v>43</v>
      </c>
      <c r="H17" s="140" t="s">
        <v>10</v>
      </c>
      <c r="I17" s="186" t="s">
        <v>10</v>
      </c>
      <c r="J17" s="186" t="s">
        <v>36</v>
      </c>
      <c r="L17" s="130"/>
    </row>
    <row r="18" spans="2:12" ht="20.25" customHeight="1" x14ac:dyDescent="0.25">
      <c r="B18" s="189">
        <v>1</v>
      </c>
      <c r="C18" s="190">
        <v>-2</v>
      </c>
      <c r="D18" s="127">
        <v>970</v>
      </c>
      <c r="E18" s="127">
        <v>270</v>
      </c>
      <c r="F18" s="192">
        <f>IF(D18&gt;0,D18/1000*E18/1000," ")</f>
        <v>0.26189999999999997</v>
      </c>
      <c r="G18" s="128">
        <v>18</v>
      </c>
      <c r="H18" s="127">
        <v>15000</v>
      </c>
      <c r="I18" s="191">
        <f>IF(G18&gt;0,F18*G18*3600," ")</f>
        <v>16971.119999999995</v>
      </c>
      <c r="J18" s="191">
        <f>IF(G18&gt;0,I18*100/H18-100," ")</f>
        <v>13.14079999999997</v>
      </c>
    </row>
    <row r="19" spans="2:12" ht="20.25" customHeight="1" x14ac:dyDescent="0.25">
      <c r="B19" s="189">
        <v>2</v>
      </c>
      <c r="C19" s="190"/>
      <c r="D19" s="127"/>
      <c r="E19" s="127"/>
      <c r="F19" s="192" t="str">
        <f t="shared" ref="F19:F22" si="3">IF(D19&gt;0,D19/1000*E19/1000," ")</f>
        <v xml:space="preserve"> </v>
      </c>
      <c r="G19" s="128"/>
      <c r="H19" s="127"/>
      <c r="I19" s="191" t="str">
        <f>IF(G19&gt;0,F19*G19*3600," ")</f>
        <v xml:space="preserve"> </v>
      </c>
      <c r="J19" s="191" t="str">
        <f t="shared" ref="J19:J22" si="4">IF(G19&gt;0,I19*100/H19-100," ")</f>
        <v xml:space="preserve"> </v>
      </c>
    </row>
    <row r="20" spans="2:12" ht="20.25" customHeight="1" x14ac:dyDescent="0.25">
      <c r="B20" s="189">
        <v>3</v>
      </c>
      <c r="C20" s="190"/>
      <c r="D20" s="127"/>
      <c r="E20" s="127"/>
      <c r="F20" s="192" t="str">
        <f t="shared" si="3"/>
        <v xml:space="preserve"> </v>
      </c>
      <c r="G20" s="128"/>
      <c r="H20" s="127"/>
      <c r="I20" s="191" t="str">
        <f>IF(G20&gt;0,F20*G20*3600," ")</f>
        <v xml:space="preserve"> </v>
      </c>
      <c r="J20" s="191" t="str">
        <f t="shared" si="4"/>
        <v xml:space="preserve"> </v>
      </c>
    </row>
    <row r="21" spans="2:12" ht="20.25" customHeight="1" x14ac:dyDescent="0.25">
      <c r="B21" s="189">
        <v>4</v>
      </c>
      <c r="C21" s="190"/>
      <c r="D21" s="127"/>
      <c r="E21" s="127"/>
      <c r="F21" s="192" t="str">
        <f t="shared" si="3"/>
        <v xml:space="preserve"> </v>
      </c>
      <c r="G21" s="128"/>
      <c r="H21" s="127"/>
      <c r="I21" s="191" t="str">
        <f>IF(G21&gt;0,F21*G21*3600," ")</f>
        <v xml:space="preserve"> </v>
      </c>
      <c r="J21" s="191" t="str">
        <f t="shared" si="4"/>
        <v xml:space="preserve"> </v>
      </c>
    </row>
    <row r="22" spans="2:12" ht="20.25" customHeight="1" x14ac:dyDescent="0.25">
      <c r="B22" s="189">
        <v>5</v>
      </c>
      <c r="C22" s="190"/>
      <c r="D22" s="127"/>
      <c r="E22" s="127"/>
      <c r="F22" s="192" t="str">
        <f t="shared" si="3"/>
        <v xml:space="preserve"> </v>
      </c>
      <c r="G22" s="128"/>
      <c r="H22" s="135"/>
      <c r="I22" s="193" t="str">
        <f t="shared" ref="I22" si="5">IF(G22&gt;0,F22*G22*3600," ")</f>
        <v xml:space="preserve"> </v>
      </c>
      <c r="J22" s="191" t="str">
        <f t="shared" si="4"/>
        <v xml:space="preserve"> </v>
      </c>
    </row>
    <row r="23" spans="2:12" ht="20.25" customHeight="1" x14ac:dyDescent="0.25">
      <c r="C23" s="136"/>
      <c r="D23" s="137"/>
      <c r="E23" s="137"/>
      <c r="F23" s="138"/>
      <c r="G23" s="136" t="s">
        <v>17</v>
      </c>
      <c r="H23" s="127">
        <f>SUM(H18:H22)</f>
        <v>15000</v>
      </c>
      <c r="I23" s="127">
        <f>SUM(I18:I22)</f>
        <v>16971.119999999995</v>
      </c>
      <c r="J23" s="127">
        <f>IF(H23&gt;0,I23*100/H23-100," ")</f>
        <v>13.14079999999997</v>
      </c>
    </row>
    <row r="24" spans="2:12" ht="20.25" customHeight="1" x14ac:dyDescent="0.25">
      <c r="C24" s="194"/>
      <c r="D24" s="185"/>
      <c r="E24" s="185"/>
      <c r="F24" s="195"/>
      <c r="G24" s="194"/>
    </row>
    <row r="25" spans="2:12" ht="20.25" customHeight="1" x14ac:dyDescent="0.25">
      <c r="B25" s="139" t="s">
        <v>363</v>
      </c>
    </row>
    <row r="26" spans="2:12" s="126" customFormat="1" ht="20.25" customHeight="1" x14ac:dyDescent="0.25">
      <c r="B26" s="206" t="s">
        <v>18</v>
      </c>
      <c r="C26" s="206" t="s">
        <v>320</v>
      </c>
      <c r="D26" s="187" t="s">
        <v>326</v>
      </c>
      <c r="E26" s="141"/>
      <c r="F26" s="188"/>
      <c r="G26" s="204" t="s">
        <v>325</v>
      </c>
      <c r="H26" s="204" t="s">
        <v>19</v>
      </c>
      <c r="I26" s="206" t="s">
        <v>205</v>
      </c>
      <c r="J26" s="206" t="s">
        <v>20</v>
      </c>
      <c r="L26" s="130"/>
    </row>
    <row r="27" spans="2:12" s="126" customFormat="1" ht="20.25" customHeight="1" x14ac:dyDescent="0.25">
      <c r="B27" s="207"/>
      <c r="C27" s="207"/>
      <c r="D27" s="140" t="s">
        <v>321</v>
      </c>
      <c r="E27" s="140" t="s">
        <v>322</v>
      </c>
      <c r="F27" s="186" t="s">
        <v>303</v>
      </c>
      <c r="G27" s="205"/>
      <c r="H27" s="205"/>
      <c r="I27" s="207"/>
      <c r="J27" s="207"/>
      <c r="L27" s="130"/>
    </row>
    <row r="28" spans="2:12" s="126" customFormat="1" ht="20.25" customHeight="1" x14ac:dyDescent="0.25">
      <c r="B28" s="186" t="s">
        <v>323</v>
      </c>
      <c r="C28" s="186" t="s">
        <v>323</v>
      </c>
      <c r="D28" s="140" t="s">
        <v>160</v>
      </c>
      <c r="E28" s="140" t="s">
        <v>160</v>
      </c>
      <c r="F28" s="186" t="s">
        <v>55</v>
      </c>
      <c r="G28" s="140" t="s">
        <v>43</v>
      </c>
      <c r="H28" s="140" t="s">
        <v>10</v>
      </c>
      <c r="I28" s="186" t="s">
        <v>10</v>
      </c>
      <c r="J28" s="186" t="s">
        <v>36</v>
      </c>
      <c r="L28" s="130"/>
    </row>
    <row r="29" spans="2:12" ht="20.25" customHeight="1" x14ac:dyDescent="0.25">
      <c r="B29" s="189">
        <v>1</v>
      </c>
      <c r="C29" s="190">
        <v>-2</v>
      </c>
      <c r="D29" s="127">
        <v>970</v>
      </c>
      <c r="E29" s="127">
        <v>270</v>
      </c>
      <c r="F29" s="192">
        <f>IF(D29&gt;0,D29/1000*E29/1000," ")</f>
        <v>0.26189999999999997</v>
      </c>
      <c r="G29" s="128">
        <v>18</v>
      </c>
      <c r="H29" s="127">
        <v>15000</v>
      </c>
      <c r="I29" s="191">
        <f>IF(G29&gt;0,F29*G29*3600," ")</f>
        <v>16971.119999999995</v>
      </c>
      <c r="J29" s="191">
        <f>IF(G29&gt;0,I29*100/H29-100," ")</f>
        <v>13.14079999999997</v>
      </c>
    </row>
    <row r="30" spans="2:12" ht="20.25" customHeight="1" x14ac:dyDescent="0.25">
      <c r="B30" s="189">
        <v>2</v>
      </c>
      <c r="C30" s="190"/>
      <c r="D30" s="127"/>
      <c r="E30" s="127"/>
      <c r="F30" s="192" t="str">
        <f t="shared" ref="F30:F33" si="6">IF(D30&gt;0,D30/1000*E30/1000," ")</f>
        <v xml:space="preserve"> </v>
      </c>
      <c r="G30" s="128"/>
      <c r="H30" s="127"/>
      <c r="I30" s="191" t="str">
        <f>IF(G30&gt;0,F30*G30*3600," ")</f>
        <v xml:space="preserve"> </v>
      </c>
      <c r="J30" s="191" t="str">
        <f t="shared" ref="J30:J33" si="7">IF(G30&gt;0,I30*100/H30-100," ")</f>
        <v xml:space="preserve"> </v>
      </c>
    </row>
    <row r="31" spans="2:12" ht="20.25" customHeight="1" x14ac:dyDescent="0.25">
      <c r="B31" s="189">
        <v>3</v>
      </c>
      <c r="C31" s="190"/>
      <c r="D31" s="127"/>
      <c r="E31" s="127"/>
      <c r="F31" s="192" t="str">
        <f t="shared" si="6"/>
        <v xml:space="preserve"> </v>
      </c>
      <c r="G31" s="128"/>
      <c r="H31" s="127"/>
      <c r="I31" s="191" t="str">
        <f>IF(G31&gt;0,F31*G31*3600," ")</f>
        <v xml:space="preserve"> </v>
      </c>
      <c r="J31" s="191" t="str">
        <f t="shared" si="7"/>
        <v xml:space="preserve"> </v>
      </c>
    </row>
    <row r="32" spans="2:12" ht="20.25" customHeight="1" x14ac:dyDescent="0.25">
      <c r="B32" s="189">
        <v>4</v>
      </c>
      <c r="C32" s="190"/>
      <c r="D32" s="127"/>
      <c r="E32" s="127"/>
      <c r="F32" s="192" t="str">
        <f t="shared" si="6"/>
        <v xml:space="preserve"> </v>
      </c>
      <c r="G32" s="128"/>
      <c r="H32" s="127"/>
      <c r="I32" s="191" t="str">
        <f>IF(G32&gt;0,F32*G32*3600," ")</f>
        <v xml:space="preserve"> </v>
      </c>
      <c r="J32" s="191" t="str">
        <f t="shared" si="7"/>
        <v xml:space="preserve"> </v>
      </c>
    </row>
    <row r="33" spans="2:14" ht="20.25" customHeight="1" x14ac:dyDescent="0.25">
      <c r="B33" s="189">
        <v>5</v>
      </c>
      <c r="C33" s="190"/>
      <c r="D33" s="127"/>
      <c r="E33" s="127"/>
      <c r="F33" s="192" t="str">
        <f t="shared" si="6"/>
        <v xml:space="preserve"> </v>
      </c>
      <c r="G33" s="128"/>
      <c r="H33" s="135"/>
      <c r="I33" s="193" t="str">
        <f t="shared" ref="I33" si="8">IF(G33&gt;0,F33*G33*3600," ")</f>
        <v xml:space="preserve"> </v>
      </c>
      <c r="J33" s="191" t="str">
        <f t="shared" si="7"/>
        <v xml:space="preserve"> </v>
      </c>
    </row>
    <row r="34" spans="2:14" ht="20.25" customHeight="1" x14ac:dyDescent="0.25">
      <c r="C34" s="136"/>
      <c r="D34" s="137"/>
      <c r="E34" s="137"/>
      <c r="F34" s="138"/>
      <c r="G34" s="136" t="s">
        <v>17</v>
      </c>
      <c r="H34" s="127">
        <f>SUM(H29:H33)</f>
        <v>15000</v>
      </c>
      <c r="I34" s="127">
        <f>SUM(I29:I33)</f>
        <v>16971.119999999995</v>
      </c>
      <c r="J34" s="127">
        <f>IF(H34&gt;0,I34*100/H34-100," ")</f>
        <v>13.14079999999997</v>
      </c>
    </row>
    <row r="35" spans="2:14" ht="20.25" customHeight="1" x14ac:dyDescent="0.25">
      <c r="C35" s="194"/>
      <c r="D35" s="185"/>
      <c r="E35" s="185"/>
      <c r="F35" s="195"/>
      <c r="G35" s="194"/>
    </row>
    <row r="36" spans="2:14" ht="20.25" customHeight="1" x14ac:dyDescent="0.25">
      <c r="B36" s="139" t="str">
        <f>B2</f>
        <v>Dūmu novadīšanas sistēma DN1</v>
      </c>
    </row>
    <row r="37" spans="2:14" s="143" customFormat="1" ht="15.75" x14ac:dyDescent="0.25">
      <c r="B37" s="143" t="s">
        <v>364</v>
      </c>
      <c r="D37" s="133"/>
      <c r="E37" s="133"/>
      <c r="G37" s="133"/>
      <c r="H37" s="133"/>
      <c r="I37" s="175"/>
      <c r="J37" s="133"/>
      <c r="K37" s="133"/>
      <c r="L37" s="175"/>
      <c r="M37" s="133"/>
      <c r="N37" s="133"/>
    </row>
    <row r="38" spans="2:14" s="142" customFormat="1" ht="15.75" x14ac:dyDescent="0.25">
      <c r="B38" s="150"/>
      <c r="C38" s="151"/>
      <c r="H38" s="167"/>
      <c r="I38" s="173"/>
      <c r="J38" s="144"/>
      <c r="K38" s="174"/>
      <c r="L38" s="173"/>
      <c r="M38" s="144"/>
    </row>
    <row r="39" spans="2:14" s="142" customFormat="1" ht="15.75" x14ac:dyDescent="0.25">
      <c r="B39" s="150"/>
      <c r="C39" s="151"/>
      <c r="H39" s="167"/>
      <c r="I39" s="173"/>
      <c r="J39" s="144"/>
      <c r="K39" s="174"/>
      <c r="L39" s="173"/>
      <c r="M39" s="144"/>
    </row>
    <row r="40" spans="2:14" s="142" customFormat="1" ht="15.75" x14ac:dyDescent="0.25">
      <c r="B40" s="150"/>
      <c r="C40" s="151"/>
      <c r="H40" s="167"/>
      <c r="I40" s="173"/>
      <c r="J40" s="144"/>
      <c r="K40" s="174"/>
      <c r="L40" s="173"/>
      <c r="M40" s="144"/>
    </row>
    <row r="41" spans="2:14" s="142" customFormat="1" ht="15.75" x14ac:dyDescent="0.25">
      <c r="B41" s="150"/>
      <c r="C41" s="151"/>
      <c r="H41" s="167"/>
      <c r="I41" s="173"/>
      <c r="J41" s="144"/>
      <c r="K41" s="174"/>
      <c r="L41" s="173"/>
      <c r="M41" s="144"/>
    </row>
    <row r="42" spans="2:14" s="142" customFormat="1" ht="15.75" x14ac:dyDescent="0.25">
      <c r="B42" s="150"/>
      <c r="C42" s="151"/>
      <c r="H42" s="167"/>
      <c r="I42" s="173"/>
      <c r="J42" s="144"/>
      <c r="K42" s="174"/>
      <c r="L42" s="173"/>
      <c r="M42" s="144"/>
    </row>
    <row r="43" spans="2:14" s="142" customFormat="1" ht="15.75" x14ac:dyDescent="0.25">
      <c r="B43" s="150"/>
      <c r="C43" s="151"/>
      <c r="H43" s="167"/>
      <c r="I43" s="173"/>
      <c r="J43" s="144"/>
      <c r="K43" s="174"/>
      <c r="L43" s="173"/>
      <c r="M43" s="144"/>
    </row>
    <row r="44" spans="2:14" s="142" customFormat="1" ht="15.75" x14ac:dyDescent="0.25">
      <c r="B44" s="150"/>
      <c r="C44" s="151"/>
      <c r="H44" s="167"/>
      <c r="I44" s="173"/>
      <c r="J44" s="144"/>
      <c r="K44" s="174"/>
      <c r="L44" s="173"/>
      <c r="M44" s="144"/>
    </row>
    <row r="45" spans="2:14" s="142" customFormat="1" ht="15.75" x14ac:dyDescent="0.25">
      <c r="B45" s="150"/>
      <c r="C45" s="151"/>
      <c r="H45" s="167"/>
      <c r="I45" s="173"/>
      <c r="J45" s="144"/>
      <c r="K45" s="174"/>
      <c r="L45" s="173"/>
      <c r="M45" s="144"/>
    </row>
    <row r="46" spans="2:14" s="142" customFormat="1" ht="15.75" x14ac:dyDescent="0.25">
      <c r="B46" s="150"/>
      <c r="C46" s="151"/>
      <c r="H46" s="167"/>
      <c r="I46" s="173"/>
      <c r="J46" s="144"/>
      <c r="K46" s="174"/>
      <c r="L46" s="173"/>
      <c r="M46" s="144"/>
    </row>
    <row r="47" spans="2:14" s="142" customFormat="1" ht="15.75" x14ac:dyDescent="0.25">
      <c r="B47" s="150"/>
      <c r="C47" s="151"/>
      <c r="H47" s="167"/>
      <c r="I47" s="173"/>
      <c r="J47" s="144"/>
      <c r="K47" s="174"/>
      <c r="L47" s="173"/>
      <c r="M47" s="144"/>
    </row>
    <row r="48" spans="2:14" s="142" customFormat="1" ht="15.75" x14ac:dyDescent="0.25">
      <c r="B48" s="150"/>
      <c r="C48" s="151"/>
      <c r="H48" s="167"/>
      <c r="I48" s="173"/>
      <c r="J48" s="144"/>
      <c r="K48" s="174"/>
      <c r="L48" s="173"/>
      <c r="M48" s="144"/>
    </row>
    <row r="49" spans="2:27" s="142" customFormat="1" ht="15.75" x14ac:dyDescent="0.25">
      <c r="B49" s="150"/>
      <c r="C49" s="151"/>
      <c r="H49" s="167"/>
      <c r="I49" s="173"/>
      <c r="J49" s="144"/>
      <c r="K49" s="174"/>
      <c r="L49" s="173"/>
      <c r="M49" s="144"/>
    </row>
    <row r="50" spans="2:27" s="142" customFormat="1" ht="15.75" x14ac:dyDescent="0.25">
      <c r="B50" s="150"/>
      <c r="C50" s="151"/>
      <c r="H50" s="167"/>
      <c r="I50" s="173"/>
      <c r="J50" s="144"/>
      <c r="K50" s="174"/>
      <c r="L50" s="173"/>
      <c r="M50" s="144"/>
    </row>
    <row r="51" spans="2:27" s="142" customFormat="1" ht="15.75" x14ac:dyDescent="0.25">
      <c r="B51" s="150"/>
      <c r="C51" s="151"/>
      <c r="H51" s="167"/>
      <c r="I51" s="173"/>
      <c r="J51" s="144"/>
      <c r="K51" s="174"/>
      <c r="L51" s="173"/>
      <c r="M51" s="144"/>
    </row>
    <row r="52" spans="2:27" s="142" customFormat="1" ht="15.75" x14ac:dyDescent="0.25">
      <c r="B52" s="143" t="s">
        <v>319</v>
      </c>
      <c r="C52" s="152"/>
      <c r="D52" s="131"/>
      <c r="E52" s="131"/>
      <c r="F52" s="132"/>
      <c r="G52" s="176" t="s">
        <v>4</v>
      </c>
      <c r="H52" s="145"/>
      <c r="I52" s="176" t="s">
        <v>2</v>
      </c>
      <c r="J52" s="145"/>
    </row>
    <row r="53" spans="2:27" s="142" customFormat="1" ht="15.75" x14ac:dyDescent="0.25">
      <c r="B53" s="150"/>
      <c r="C53" s="158" t="s">
        <v>13</v>
      </c>
      <c r="D53" s="159"/>
      <c r="E53" s="159"/>
      <c r="F53" s="177"/>
      <c r="G53" s="178" t="s">
        <v>358</v>
      </c>
      <c r="H53" s="160"/>
      <c r="I53" s="178"/>
      <c r="J53" s="160"/>
      <c r="M53" s="172" t="s">
        <v>346</v>
      </c>
      <c r="V53" s="172" t="s">
        <v>181</v>
      </c>
      <c r="Y53" s="147" t="s">
        <v>182</v>
      </c>
      <c r="Z53" s="165">
        <v>15</v>
      </c>
      <c r="AA53" s="155" t="s">
        <v>6</v>
      </c>
    </row>
    <row r="54" spans="2:27" s="142" customFormat="1" ht="15.75" x14ac:dyDescent="0.25">
      <c r="B54" s="150"/>
      <c r="C54" s="158" t="s">
        <v>331</v>
      </c>
      <c r="D54" s="159"/>
      <c r="E54" s="159"/>
      <c r="F54" s="177"/>
      <c r="G54" s="178">
        <v>29400</v>
      </c>
      <c r="H54" s="160" t="s">
        <v>330</v>
      </c>
      <c r="I54" s="178">
        <v>28700</v>
      </c>
      <c r="J54" s="160" t="s">
        <v>330</v>
      </c>
      <c r="M54" s="171" t="s">
        <v>166</v>
      </c>
      <c r="N54" s="146"/>
      <c r="O54" s="148" t="s">
        <v>5</v>
      </c>
      <c r="P54" s="149">
        <v>100</v>
      </c>
      <c r="Q54" s="148" t="s">
        <v>5</v>
      </c>
      <c r="R54" s="156">
        <f>(R56/(R55))^2</f>
        <v>110.80332409972301</v>
      </c>
      <c r="S54" s="147" t="s">
        <v>6</v>
      </c>
      <c r="V54" s="171" t="s">
        <v>137</v>
      </c>
      <c r="Y54" s="147" t="s">
        <v>183</v>
      </c>
      <c r="Z54" s="165">
        <v>20</v>
      </c>
      <c r="AA54" s="155" t="s">
        <v>14</v>
      </c>
    </row>
    <row r="55" spans="2:27" s="142" customFormat="1" ht="15.75" x14ac:dyDescent="0.25">
      <c r="B55" s="150"/>
      <c r="C55" s="161" t="s">
        <v>349</v>
      </c>
      <c r="D55" s="162"/>
      <c r="E55" s="162"/>
      <c r="F55" s="179"/>
      <c r="G55" s="180">
        <v>528</v>
      </c>
      <c r="H55" s="163" t="s">
        <v>6</v>
      </c>
      <c r="I55" s="180">
        <v>403</v>
      </c>
      <c r="J55" s="163" t="s">
        <v>6</v>
      </c>
      <c r="M55" s="171" t="s">
        <v>247</v>
      </c>
      <c r="N55" s="146"/>
      <c r="O55" s="148" t="s">
        <v>7</v>
      </c>
      <c r="P55" s="164">
        <v>285</v>
      </c>
      <c r="Q55" s="148" t="s">
        <v>7</v>
      </c>
      <c r="R55" s="155">
        <v>285</v>
      </c>
      <c r="S55" s="147"/>
      <c r="V55" s="171" t="s">
        <v>184</v>
      </c>
      <c r="Y55" s="147" t="s">
        <v>185</v>
      </c>
      <c r="Z55" s="165">
        <v>1</v>
      </c>
      <c r="AA55" s="147"/>
    </row>
    <row r="56" spans="2:27" s="142" customFormat="1" ht="15.75" x14ac:dyDescent="0.25">
      <c r="B56" s="150"/>
      <c r="C56" s="161" t="s">
        <v>333</v>
      </c>
      <c r="D56" s="162"/>
      <c r="E56" s="162"/>
      <c r="F56" s="179"/>
      <c r="G56" s="180">
        <v>1470</v>
      </c>
      <c r="H56" s="163" t="s">
        <v>334</v>
      </c>
      <c r="I56" s="180">
        <v>1450</v>
      </c>
      <c r="J56" s="163" t="s">
        <v>334</v>
      </c>
      <c r="M56" s="171" t="s">
        <v>0</v>
      </c>
      <c r="N56" s="146"/>
      <c r="O56" s="148" t="s">
        <v>8</v>
      </c>
      <c r="P56" s="154">
        <f>P55*P54^0.5</f>
        <v>2850</v>
      </c>
      <c r="Q56" s="148" t="s">
        <v>8</v>
      </c>
      <c r="R56" s="155">
        <v>3000</v>
      </c>
      <c r="S56" s="147" t="s">
        <v>330</v>
      </c>
      <c r="V56" s="171" t="s">
        <v>186</v>
      </c>
      <c r="Y56" s="147" t="s">
        <v>187</v>
      </c>
      <c r="Z56" s="166">
        <f>0.07523*((Z53*(Z54+273)*Z55)^0.5)</f>
        <v>4.9873575163106167</v>
      </c>
      <c r="AA56" s="147" t="s">
        <v>43</v>
      </c>
    </row>
    <row r="57" spans="2:27" s="142" customFormat="1" ht="15.75" x14ac:dyDescent="0.25">
      <c r="B57" s="150"/>
      <c r="C57" s="161" t="s">
        <v>357</v>
      </c>
      <c r="D57" s="162"/>
      <c r="E57" s="162"/>
      <c r="F57" s="179"/>
      <c r="G57" s="180">
        <v>1600</v>
      </c>
      <c r="H57" s="163" t="s">
        <v>334</v>
      </c>
      <c r="I57" s="180"/>
      <c r="J57" s="163"/>
      <c r="M57" s="171" t="s">
        <v>0</v>
      </c>
      <c r="N57" s="146"/>
      <c r="O57" s="148" t="s">
        <v>8</v>
      </c>
      <c r="P57" s="154">
        <f>3.6*P55*(P54^0.5)</f>
        <v>10260</v>
      </c>
    </row>
    <row r="58" spans="2:27" s="142" customFormat="1" ht="15.75" x14ac:dyDescent="0.25">
      <c r="B58" s="150"/>
      <c r="C58" s="161" t="s">
        <v>350</v>
      </c>
      <c r="D58" s="162"/>
      <c r="E58" s="162"/>
      <c r="F58" s="179"/>
      <c r="G58" s="181">
        <v>72.400000000000006</v>
      </c>
      <c r="H58" s="163" t="s">
        <v>36</v>
      </c>
      <c r="I58" s="180"/>
      <c r="J58" s="163"/>
    </row>
    <row r="59" spans="2:27" s="142" customFormat="1" ht="15.75" x14ac:dyDescent="0.25">
      <c r="B59" s="150"/>
      <c r="C59" s="161" t="s">
        <v>328</v>
      </c>
      <c r="D59" s="162"/>
      <c r="E59" s="162"/>
      <c r="F59" s="179"/>
      <c r="G59" s="180"/>
      <c r="H59" s="163"/>
      <c r="I59" s="180"/>
      <c r="J59" s="163"/>
    </row>
    <row r="60" spans="2:27" s="142" customFormat="1" ht="15.75" x14ac:dyDescent="0.25">
      <c r="B60" s="143" t="s">
        <v>329</v>
      </c>
      <c r="C60" s="151"/>
      <c r="F60" s="167"/>
      <c r="G60" s="173"/>
      <c r="H60" s="144"/>
      <c r="I60" s="173"/>
      <c r="J60" s="144"/>
      <c r="M60" s="172" t="s">
        <v>348</v>
      </c>
      <c r="V60" s="172" t="s">
        <v>347</v>
      </c>
    </row>
    <row r="61" spans="2:27" s="142" customFormat="1" ht="15.75" x14ac:dyDescent="0.25">
      <c r="B61" s="150"/>
      <c r="C61" s="158" t="s">
        <v>332</v>
      </c>
      <c r="D61" s="159"/>
      <c r="E61" s="159"/>
      <c r="F61" s="177"/>
      <c r="G61" s="178" t="s">
        <v>359</v>
      </c>
      <c r="H61" s="160"/>
      <c r="I61" s="178"/>
      <c r="J61" s="160"/>
      <c r="M61" s="171" t="s">
        <v>327</v>
      </c>
      <c r="N61" s="147"/>
      <c r="O61" s="147"/>
      <c r="P61" s="155">
        <f>I54</f>
        <v>28700</v>
      </c>
      <c r="Q61" s="147" t="s">
        <v>330</v>
      </c>
      <c r="V61" s="171" t="s">
        <v>12</v>
      </c>
      <c r="W61" s="169" t="s">
        <v>341</v>
      </c>
      <c r="X61" s="149">
        <v>2040</v>
      </c>
      <c r="Y61" s="170" t="s">
        <v>334</v>
      </c>
    </row>
    <row r="62" spans="2:27" s="142" customFormat="1" ht="15.75" x14ac:dyDescent="0.25">
      <c r="B62" s="150"/>
      <c r="C62" s="161" t="s">
        <v>351</v>
      </c>
      <c r="D62" s="162"/>
      <c r="E62" s="162"/>
      <c r="F62" s="179"/>
      <c r="G62" s="181">
        <v>5.5</v>
      </c>
      <c r="H62" s="163" t="s">
        <v>1</v>
      </c>
      <c r="I62" s="184"/>
      <c r="J62" s="163" t="s">
        <v>1</v>
      </c>
      <c r="M62" s="171" t="s">
        <v>336</v>
      </c>
      <c r="N62" s="147"/>
      <c r="O62" s="147"/>
      <c r="P62" s="155">
        <f>I55</f>
        <v>403</v>
      </c>
      <c r="Q62" s="147" t="s">
        <v>6</v>
      </c>
      <c r="V62" s="171" t="s">
        <v>342</v>
      </c>
      <c r="W62" s="169" t="s">
        <v>343</v>
      </c>
      <c r="X62" s="149">
        <v>1560</v>
      </c>
      <c r="Y62" s="170" t="s">
        <v>334</v>
      </c>
    </row>
    <row r="63" spans="2:27" s="142" customFormat="1" ht="15.75" x14ac:dyDescent="0.25">
      <c r="B63" s="150"/>
      <c r="C63" s="161" t="s">
        <v>352</v>
      </c>
      <c r="D63" s="162"/>
      <c r="E63" s="162"/>
      <c r="F63" s="179"/>
      <c r="G63" s="182">
        <v>10.3</v>
      </c>
      <c r="H63" s="163" t="s">
        <v>32</v>
      </c>
      <c r="I63" s="182"/>
      <c r="J63" s="163" t="s">
        <v>32</v>
      </c>
      <c r="M63" s="171" t="s">
        <v>337</v>
      </c>
      <c r="N63" s="147"/>
      <c r="O63" s="147"/>
      <c r="P63" s="147">
        <v>0.8</v>
      </c>
      <c r="Q63" s="147" t="s">
        <v>338</v>
      </c>
      <c r="V63" s="171" t="s">
        <v>12</v>
      </c>
      <c r="W63" s="169" t="s">
        <v>344</v>
      </c>
      <c r="X63" s="149">
        <v>195</v>
      </c>
      <c r="Y63" s="147" t="s">
        <v>330</v>
      </c>
    </row>
    <row r="64" spans="2:27" s="142" customFormat="1" ht="15.75" x14ac:dyDescent="0.25">
      <c r="B64" s="150"/>
      <c r="C64" s="161" t="s">
        <v>353</v>
      </c>
      <c r="D64" s="162"/>
      <c r="E64" s="162"/>
      <c r="F64" s="179"/>
      <c r="G64" s="182" t="s">
        <v>360</v>
      </c>
      <c r="H64" s="163" t="s">
        <v>354</v>
      </c>
      <c r="I64" s="182"/>
      <c r="J64" s="163"/>
      <c r="M64" s="171" t="s">
        <v>339</v>
      </c>
      <c r="N64" s="147"/>
      <c r="O64" s="147"/>
      <c r="P64" s="147">
        <v>0.65</v>
      </c>
      <c r="Q64" s="147" t="s">
        <v>338</v>
      </c>
      <c r="V64" s="171" t="s">
        <v>342</v>
      </c>
      <c r="W64" s="169" t="s">
        <v>345</v>
      </c>
      <c r="X64" s="153">
        <f>X63*X62^2/X61^2</f>
        <v>114.03114186851211</v>
      </c>
      <c r="Y64" s="147" t="s">
        <v>330</v>
      </c>
    </row>
    <row r="65" spans="2:25" s="142" customFormat="1" ht="15.75" x14ac:dyDescent="0.25">
      <c r="B65" s="150"/>
      <c r="C65" s="161" t="s">
        <v>355</v>
      </c>
      <c r="D65" s="162"/>
      <c r="E65" s="162"/>
      <c r="F65" s="179"/>
      <c r="G65" s="180">
        <v>50</v>
      </c>
      <c r="H65" s="163" t="s">
        <v>356</v>
      </c>
      <c r="I65" s="182"/>
      <c r="J65" s="163"/>
      <c r="M65" s="171" t="s">
        <v>340</v>
      </c>
      <c r="N65" s="147"/>
      <c r="O65" s="147"/>
      <c r="P65" s="168">
        <f>(P61/3600*P62)/(P63*P64)</f>
        <v>6178.4722222222226</v>
      </c>
      <c r="Q65" s="147" t="s">
        <v>30</v>
      </c>
      <c r="V65" s="183"/>
      <c r="W65" s="169"/>
      <c r="X65" s="153"/>
      <c r="Y65" s="147"/>
    </row>
  </sheetData>
  <mergeCells count="18">
    <mergeCell ref="J4:J5"/>
    <mergeCell ref="B4:B5"/>
    <mergeCell ref="C4:C5"/>
    <mergeCell ref="G4:G5"/>
    <mergeCell ref="H4:H5"/>
    <mergeCell ref="I4:I5"/>
    <mergeCell ref="I15:I16"/>
    <mergeCell ref="J15:J16"/>
    <mergeCell ref="B26:B27"/>
    <mergeCell ref="C26:C27"/>
    <mergeCell ref="G26:G27"/>
    <mergeCell ref="H26:H27"/>
    <mergeCell ref="I26:I27"/>
    <mergeCell ref="J26:J27"/>
    <mergeCell ref="B15:B16"/>
    <mergeCell ref="C15:C16"/>
    <mergeCell ref="G15:G16"/>
    <mergeCell ref="H15:H16"/>
  </mergeCells>
  <dataValidations count="4">
    <dataValidation type="list" allowBlank="1" showInputMessage="1" sqref="G64" xr:uid="{92B6061A-FC8F-42F6-A20F-5A9F41628828}">
      <formula1>"3x400, 1x230"</formula1>
    </dataValidation>
    <dataValidation type="list" allowBlank="1" showInputMessage="1" showErrorMessage="1" sqref="G61" xr:uid="{D3860B71-E69E-4D73-9D8B-31DCFC6A7DE4}">
      <formula1>"EC, PM"</formula1>
    </dataValidation>
    <dataValidation type="list" allowBlank="1" showInputMessage="1" sqref="G53" xr:uid="{C30B3237-88E1-4282-BF32-3D919A284AA1}">
      <formula1>"centrbēdzes, ar sīksies piedzinu, jumta ventilators,"</formula1>
    </dataValidation>
    <dataValidation type="list" allowBlank="1" showInputMessage="1" sqref="H62 J62" xr:uid="{3708A981-26E9-4E63-B05D-CBF22744E416}">
      <formula1>"W, kW"</formula1>
    </dataValidation>
  </dataValidations>
  <pageMargins left="0.25" right="0.25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126"/>
  <sheetViews>
    <sheetView zoomScaleNormal="100" workbookViewId="0">
      <selection activeCell="V19" sqref="V19"/>
    </sheetView>
  </sheetViews>
  <sheetFormatPr defaultColWidth="9.140625" defaultRowHeight="15" x14ac:dyDescent="0.25"/>
  <cols>
    <col min="1" max="1" width="9.140625" style="9"/>
    <col min="2" max="2" width="7.28515625" style="9" customWidth="1"/>
    <col min="3" max="3" width="9.140625" style="9"/>
    <col min="4" max="4" width="10.7109375" style="9" customWidth="1"/>
    <col min="5" max="5" width="11.85546875" style="9" customWidth="1"/>
    <col min="6" max="6" width="11.42578125" style="9" customWidth="1"/>
    <col min="7" max="12" width="16.85546875" style="9" customWidth="1"/>
    <col min="13" max="16384" width="9.140625" style="9"/>
  </cols>
  <sheetData>
    <row r="1" spans="2:13" s="1" customFormat="1" ht="29.25" customHeight="1" x14ac:dyDescent="0.25">
      <c r="H1" s="5"/>
      <c r="I1" s="6"/>
    </row>
    <row r="2" spans="2:13" s="1" customFormat="1" ht="22.5" customHeight="1" x14ac:dyDescent="0.25">
      <c r="B2" s="212" t="s">
        <v>22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7"/>
    </row>
    <row r="3" spans="2:13" s="1" customFormat="1" ht="5.25" customHeight="1" x14ac:dyDescent="0.25"/>
    <row r="4" spans="2:13" s="1" customFormat="1" ht="45" x14ac:dyDescent="0.25">
      <c r="B4" s="2" t="s">
        <v>291</v>
      </c>
      <c r="C4" s="2" t="s">
        <v>28</v>
      </c>
      <c r="D4" s="2" t="s">
        <v>23</v>
      </c>
      <c r="E4" s="2" t="s">
        <v>24</v>
      </c>
      <c r="F4" s="8" t="s">
        <v>25</v>
      </c>
      <c r="G4" s="213" t="s">
        <v>26</v>
      </c>
      <c r="H4" s="213"/>
      <c r="I4" s="213"/>
      <c r="J4" s="214" t="s">
        <v>27</v>
      </c>
      <c r="K4" s="214"/>
      <c r="L4" s="214"/>
    </row>
    <row r="5" spans="2:13" s="1" customFormat="1" ht="31.5" customHeight="1" x14ac:dyDescent="0.25">
      <c r="B5" s="3"/>
      <c r="C5" s="3"/>
      <c r="D5" s="3"/>
      <c r="E5" s="3"/>
      <c r="F5" s="4"/>
      <c r="G5" s="209"/>
      <c r="H5" s="210"/>
      <c r="I5" s="211"/>
      <c r="J5" s="209"/>
      <c r="K5" s="210"/>
      <c r="L5" s="211"/>
    </row>
    <row r="6" spans="2:13" s="1" customFormat="1" ht="31.5" customHeight="1" x14ac:dyDescent="0.25">
      <c r="B6" s="3"/>
      <c r="C6" s="3"/>
      <c r="D6" s="3"/>
      <c r="E6" s="3"/>
      <c r="F6" s="4"/>
      <c r="G6" s="209"/>
      <c r="H6" s="210"/>
      <c r="I6" s="211"/>
      <c r="J6" s="209"/>
      <c r="K6" s="210"/>
      <c r="L6" s="211"/>
    </row>
    <row r="7" spans="2:13" s="1" customFormat="1" ht="31.5" customHeight="1" x14ac:dyDescent="0.25">
      <c r="B7" s="3"/>
      <c r="C7" s="3"/>
      <c r="D7" s="3"/>
      <c r="E7" s="3"/>
      <c r="F7" s="4"/>
      <c r="G7" s="209"/>
      <c r="H7" s="210"/>
      <c r="I7" s="211"/>
      <c r="J7" s="209"/>
      <c r="K7" s="210"/>
      <c r="L7" s="211"/>
    </row>
    <row r="8" spans="2:13" s="1" customFormat="1" ht="31.5" customHeight="1" x14ac:dyDescent="0.25">
      <c r="B8" s="3"/>
      <c r="C8" s="3"/>
      <c r="D8" s="3"/>
      <c r="E8" s="3"/>
      <c r="F8" s="4"/>
      <c r="G8" s="209"/>
      <c r="H8" s="210"/>
      <c r="I8" s="211"/>
      <c r="J8" s="209"/>
      <c r="K8" s="210"/>
      <c r="L8" s="211"/>
    </row>
    <row r="9" spans="2:13" s="1" customFormat="1" ht="31.5" customHeight="1" x14ac:dyDescent="0.25">
      <c r="B9" s="3"/>
      <c r="C9" s="3"/>
      <c r="D9" s="3"/>
      <c r="E9" s="3"/>
      <c r="F9" s="4"/>
      <c r="G9" s="209"/>
      <c r="H9" s="210"/>
      <c r="I9" s="211"/>
      <c r="J9" s="209"/>
      <c r="K9" s="210"/>
      <c r="L9" s="211"/>
    </row>
    <row r="10" spans="2:13" s="1" customFormat="1" ht="31.5" customHeight="1" x14ac:dyDescent="0.25">
      <c r="B10" s="3"/>
      <c r="C10" s="3"/>
      <c r="D10" s="3"/>
      <c r="E10" s="3"/>
      <c r="F10" s="4"/>
      <c r="G10" s="209"/>
      <c r="H10" s="210"/>
      <c r="I10" s="211"/>
      <c r="J10" s="209"/>
      <c r="K10" s="210"/>
      <c r="L10" s="211"/>
    </row>
    <row r="11" spans="2:13" s="1" customFormat="1" ht="31.5" customHeight="1" x14ac:dyDescent="0.25">
      <c r="B11" s="3"/>
      <c r="C11" s="3"/>
      <c r="D11" s="3"/>
      <c r="E11" s="3"/>
      <c r="F11" s="4"/>
      <c r="G11" s="209"/>
      <c r="H11" s="210"/>
      <c r="I11" s="211"/>
      <c r="J11" s="209"/>
      <c r="K11" s="210"/>
      <c r="L11" s="211"/>
    </row>
    <row r="12" spans="2:13" s="1" customFormat="1" ht="31.5" customHeight="1" x14ac:dyDescent="0.25">
      <c r="B12" s="3"/>
      <c r="C12" s="3"/>
      <c r="D12" s="3"/>
      <c r="E12" s="3"/>
      <c r="F12" s="4"/>
      <c r="G12" s="209"/>
      <c r="H12" s="210"/>
      <c r="I12" s="211"/>
      <c r="J12" s="209"/>
      <c r="K12" s="210"/>
      <c r="L12" s="211"/>
    </row>
    <row r="13" spans="2:13" s="1" customFormat="1" ht="31.5" customHeight="1" x14ac:dyDescent="0.25">
      <c r="B13" s="3"/>
      <c r="C13" s="3"/>
      <c r="D13" s="3"/>
      <c r="E13" s="3"/>
      <c r="F13" s="4"/>
      <c r="G13" s="209"/>
      <c r="H13" s="210"/>
      <c r="I13" s="211"/>
      <c r="J13" s="209"/>
      <c r="K13" s="210"/>
      <c r="L13" s="211"/>
    </row>
    <row r="14" spans="2:13" s="1" customFormat="1" ht="31.5" customHeight="1" x14ac:dyDescent="0.25">
      <c r="B14" s="3"/>
      <c r="C14" s="3"/>
      <c r="D14" s="3"/>
      <c r="E14" s="3"/>
      <c r="F14" s="4"/>
      <c r="G14" s="209"/>
      <c r="H14" s="210"/>
      <c r="I14" s="211"/>
      <c r="J14" s="209"/>
      <c r="K14" s="210"/>
      <c r="L14" s="211"/>
    </row>
    <row r="15" spans="2:13" s="1" customFormat="1" ht="31.5" customHeight="1" x14ac:dyDescent="0.25">
      <c r="B15" s="3"/>
      <c r="C15" s="3"/>
      <c r="D15" s="3"/>
      <c r="E15" s="3"/>
      <c r="F15" s="4"/>
      <c r="G15" s="209"/>
      <c r="H15" s="210"/>
      <c r="I15" s="211"/>
      <c r="J15" s="209"/>
      <c r="K15" s="210"/>
      <c r="L15" s="211"/>
    </row>
    <row r="16" spans="2:13" s="1" customFormat="1" ht="31.5" customHeight="1" x14ac:dyDescent="0.25">
      <c r="B16" s="3"/>
      <c r="C16" s="3"/>
      <c r="D16" s="3"/>
      <c r="E16" s="3"/>
      <c r="F16" s="4"/>
      <c r="G16" s="209"/>
      <c r="H16" s="210"/>
      <c r="I16" s="211"/>
      <c r="J16" s="209"/>
      <c r="K16" s="210"/>
      <c r="L16" s="211"/>
    </row>
    <row r="17" spans="2:12" s="1" customFormat="1" ht="31.5" customHeight="1" x14ac:dyDescent="0.25">
      <c r="B17" s="3"/>
      <c r="C17" s="3"/>
      <c r="D17" s="3"/>
      <c r="E17" s="3"/>
      <c r="F17" s="4"/>
      <c r="G17" s="209"/>
      <c r="H17" s="210"/>
      <c r="I17" s="211"/>
      <c r="J17" s="209"/>
      <c r="K17" s="210"/>
      <c r="L17" s="211"/>
    </row>
    <row r="18" spans="2:12" s="1" customFormat="1" ht="31.5" customHeight="1" x14ac:dyDescent="0.25">
      <c r="B18" s="3"/>
      <c r="C18" s="3"/>
      <c r="D18" s="3"/>
      <c r="E18" s="3"/>
      <c r="F18" s="4"/>
      <c r="G18" s="209"/>
      <c r="H18" s="210"/>
      <c r="I18" s="211"/>
      <c r="J18" s="209"/>
      <c r="K18" s="210"/>
      <c r="L18" s="211"/>
    </row>
    <row r="19" spans="2:12" s="1" customFormat="1" ht="31.5" customHeight="1" x14ac:dyDescent="0.25">
      <c r="B19" s="3"/>
      <c r="C19" s="3"/>
      <c r="D19" s="3"/>
      <c r="E19" s="3"/>
      <c r="F19" s="4"/>
      <c r="G19" s="209"/>
      <c r="H19" s="210"/>
      <c r="I19" s="211"/>
      <c r="J19" s="209"/>
      <c r="K19" s="210"/>
      <c r="L19" s="211"/>
    </row>
    <row r="20" spans="2:12" s="1" customFormat="1" ht="31.5" customHeight="1" x14ac:dyDescent="0.25">
      <c r="B20" s="3"/>
      <c r="C20" s="3"/>
      <c r="D20" s="3"/>
      <c r="E20" s="3"/>
      <c r="F20" s="4"/>
      <c r="G20" s="209"/>
      <c r="H20" s="210"/>
      <c r="I20" s="211"/>
      <c r="J20" s="209"/>
      <c r="K20" s="210"/>
      <c r="L20" s="211"/>
    </row>
    <row r="21" spans="2:12" s="10" customFormat="1" x14ac:dyDescent="0.25"/>
    <row r="22" spans="2:12" s="10" customFormat="1" x14ac:dyDescent="0.25"/>
    <row r="23" spans="2:12" s="10" customFormat="1" x14ac:dyDescent="0.25"/>
    <row r="24" spans="2:12" s="10" customFormat="1" x14ac:dyDescent="0.25"/>
    <row r="25" spans="2:12" s="10" customFormat="1" x14ac:dyDescent="0.25"/>
    <row r="26" spans="2:12" s="10" customFormat="1" x14ac:dyDescent="0.25"/>
    <row r="27" spans="2:12" s="10" customFormat="1" x14ac:dyDescent="0.25"/>
    <row r="28" spans="2:12" s="10" customFormat="1" x14ac:dyDescent="0.25"/>
    <row r="29" spans="2:12" s="10" customFormat="1" x14ac:dyDescent="0.25"/>
    <row r="30" spans="2:12" s="10" customFormat="1" x14ac:dyDescent="0.25"/>
    <row r="31" spans="2:12" s="10" customFormat="1" x14ac:dyDescent="0.25"/>
    <row r="32" spans="2:12" s="10" customForma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  <row r="44" s="10" customFormat="1" x14ac:dyDescent="0.25"/>
    <row r="45" s="10" customFormat="1" x14ac:dyDescent="0.25"/>
    <row r="46" s="10" customFormat="1" x14ac:dyDescent="0.25"/>
    <row r="47" s="10" customFormat="1" x14ac:dyDescent="0.25"/>
    <row r="4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</sheetData>
  <mergeCells count="35">
    <mergeCell ref="G4:I4"/>
    <mergeCell ref="J4:L4"/>
    <mergeCell ref="G5:I5"/>
    <mergeCell ref="J5:L5"/>
    <mergeCell ref="G6:I6"/>
    <mergeCell ref="J6:L6"/>
    <mergeCell ref="G7:I7"/>
    <mergeCell ref="J7:L7"/>
    <mergeCell ref="G8:I8"/>
    <mergeCell ref="J8:L8"/>
    <mergeCell ref="G9:I9"/>
    <mergeCell ref="J9:L9"/>
    <mergeCell ref="J15:L15"/>
    <mergeCell ref="G10:I10"/>
    <mergeCell ref="J10:L10"/>
    <mergeCell ref="G11:I11"/>
    <mergeCell ref="J11:L11"/>
    <mergeCell ref="G12:I12"/>
    <mergeCell ref="J12:L12"/>
    <mergeCell ref="G19:I19"/>
    <mergeCell ref="J19:L19"/>
    <mergeCell ref="G20:I20"/>
    <mergeCell ref="J20:L20"/>
    <mergeCell ref="B2:L2"/>
    <mergeCell ref="G16:I16"/>
    <mergeCell ref="J16:L16"/>
    <mergeCell ref="G17:I17"/>
    <mergeCell ref="J17:L17"/>
    <mergeCell ref="G18:I18"/>
    <mergeCell ref="J18:L18"/>
    <mergeCell ref="G13:I13"/>
    <mergeCell ref="J13:L13"/>
    <mergeCell ref="G14:I14"/>
    <mergeCell ref="J14:L14"/>
    <mergeCell ref="G15:I15"/>
  </mergeCells>
  <pageMargins left="0.7" right="0.7" top="0.75" bottom="0.75" header="0.3" footer="0.3"/>
  <pageSetup scale="8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4855-73AD-41A7-A809-6F62F85CC7FF}">
  <sheetPr>
    <pageSetUpPr fitToPage="1"/>
  </sheetPr>
  <dimension ref="B1:T285"/>
  <sheetViews>
    <sheetView tabSelected="1" topLeftCell="A136" zoomScale="85" zoomScaleNormal="85" workbookViewId="0">
      <selection activeCell="V19" sqref="V19"/>
    </sheetView>
  </sheetViews>
  <sheetFormatPr defaultColWidth="9.140625" defaultRowHeight="15.75" x14ac:dyDescent="0.25"/>
  <cols>
    <col min="1" max="1" width="3.140625" style="15" customWidth="1"/>
    <col min="2" max="2" width="43.28515625" style="15" customWidth="1"/>
    <col min="3" max="3" width="11.7109375" style="15" customWidth="1"/>
    <col min="4" max="4" width="18.85546875" style="15" bestFit="1" customWidth="1"/>
    <col min="5" max="5" width="25.140625" style="15" customWidth="1"/>
    <col min="6" max="6" width="11.42578125" style="15" customWidth="1"/>
    <col min="7" max="7" width="14.85546875" style="15" customWidth="1"/>
    <col min="8" max="8" width="11.140625" style="15" customWidth="1"/>
    <col min="9" max="9" width="9.7109375" style="15" customWidth="1"/>
    <col min="10" max="10" width="12.140625" style="15" bestFit="1" customWidth="1"/>
    <col min="11" max="11" width="9.42578125" style="15" bestFit="1" customWidth="1"/>
    <col min="12" max="12" width="11.28515625" style="15" customWidth="1"/>
    <col min="13" max="13" width="12.42578125" style="15" bestFit="1" customWidth="1"/>
    <col min="14" max="18" width="9.140625" style="15"/>
    <col min="19" max="19" width="10.5703125" style="15" bestFit="1" customWidth="1"/>
    <col min="20" max="16384" width="9.140625" style="15"/>
  </cols>
  <sheetData>
    <row r="1" spans="2:15" x14ac:dyDescent="0.25">
      <c r="B1" s="11" t="s">
        <v>64</v>
      </c>
      <c r="C1" s="12" t="s">
        <v>65</v>
      </c>
      <c r="D1" s="13" t="s">
        <v>66</v>
      </c>
      <c r="E1" s="14"/>
    </row>
    <row r="2" spans="2:15" x14ac:dyDescent="0.25">
      <c r="B2" s="15" t="s">
        <v>67</v>
      </c>
    </row>
    <row r="4" spans="2:15" x14ac:dyDescent="0.25">
      <c r="B4" s="216" t="s">
        <v>68</v>
      </c>
      <c r="C4" s="216"/>
      <c r="E4" s="216" t="s">
        <v>11</v>
      </c>
      <c r="F4" s="216"/>
      <c r="H4" s="216" t="s">
        <v>3</v>
      </c>
      <c r="I4" s="216"/>
      <c r="J4" s="216"/>
      <c r="K4" s="216"/>
      <c r="M4" s="216" t="s">
        <v>69</v>
      </c>
      <c r="N4" s="216"/>
    </row>
    <row r="5" spans="2:15" x14ac:dyDescent="0.25">
      <c r="B5" s="16">
        <v>1000</v>
      </c>
      <c r="C5" s="17" t="s">
        <v>6</v>
      </c>
      <c r="D5" s="17"/>
      <c r="E5" s="16">
        <v>1</v>
      </c>
      <c r="F5" s="17" t="s">
        <v>1</v>
      </c>
      <c r="G5" s="17"/>
      <c r="H5" s="16">
        <v>100</v>
      </c>
      <c r="I5" s="17" t="s">
        <v>70</v>
      </c>
      <c r="J5" s="18">
        <v>10</v>
      </c>
      <c r="K5" s="17" t="s">
        <v>71</v>
      </c>
      <c r="M5" s="16">
        <v>1</v>
      </c>
      <c r="N5" s="16" t="s">
        <v>72</v>
      </c>
    </row>
    <row r="6" spans="2:15" x14ac:dyDescent="0.25">
      <c r="B6" s="19">
        <f>B5/1000</f>
        <v>1</v>
      </c>
      <c r="C6" s="20" t="s">
        <v>73</v>
      </c>
      <c r="D6" s="21"/>
      <c r="E6" s="22">
        <f>E5*1000</f>
        <v>1000</v>
      </c>
      <c r="F6" s="20" t="s">
        <v>30</v>
      </c>
      <c r="G6" s="21"/>
      <c r="H6" s="23">
        <f>H5*0.0002778</f>
        <v>2.7779999999999999E-2</v>
      </c>
      <c r="I6" s="20" t="s">
        <v>74</v>
      </c>
      <c r="J6" s="24">
        <v>1.2257</v>
      </c>
      <c r="K6" s="17" t="s">
        <v>75</v>
      </c>
      <c r="M6" s="19">
        <f>M5*859800</f>
        <v>859800</v>
      </c>
      <c r="N6" s="15" t="s">
        <v>76</v>
      </c>
    </row>
    <row r="7" spans="2:15" x14ac:dyDescent="0.25">
      <c r="B7" s="25">
        <f>B5*0.00001</f>
        <v>0.01</v>
      </c>
      <c r="C7" s="20" t="s">
        <v>77</v>
      </c>
      <c r="D7" s="21"/>
      <c r="E7" s="25">
        <f>E5*0.2388</f>
        <v>0.23880000000000001</v>
      </c>
      <c r="F7" s="20" t="s">
        <v>78</v>
      </c>
      <c r="G7" s="21"/>
      <c r="H7" s="23">
        <f>H5*0.2778</f>
        <v>27.779999999999998</v>
      </c>
      <c r="I7" s="20" t="s">
        <v>9</v>
      </c>
      <c r="J7" s="17">
        <v>1.2</v>
      </c>
      <c r="K7" s="17" t="s">
        <v>79</v>
      </c>
      <c r="M7" s="25">
        <f>M5*0.8598</f>
        <v>0.85980000000000001</v>
      </c>
      <c r="N7" s="15" t="s">
        <v>80</v>
      </c>
    </row>
    <row r="8" spans="2:15" x14ac:dyDescent="0.25">
      <c r="B8" s="25">
        <f>B5*0.0000102</f>
        <v>1.0200000000000001E-2</v>
      </c>
      <c r="C8" s="20" t="s">
        <v>81</v>
      </c>
      <c r="D8" s="21"/>
      <c r="E8" s="22">
        <f>E5*859.9</f>
        <v>859.9</v>
      </c>
      <c r="F8" s="20" t="s">
        <v>82</v>
      </c>
      <c r="G8" s="21"/>
      <c r="H8" s="21"/>
      <c r="I8" s="21"/>
      <c r="J8" s="19">
        <f>J6*1000/J5*3.6*J7</f>
        <v>529.50239999999997</v>
      </c>
      <c r="K8" s="20" t="s">
        <v>83</v>
      </c>
      <c r="M8" s="19">
        <f>M5*3600</f>
        <v>3600</v>
      </c>
      <c r="N8" s="15" t="s">
        <v>84</v>
      </c>
    </row>
    <row r="9" spans="2:15" x14ac:dyDescent="0.25">
      <c r="B9" s="25">
        <f>B5*0.0000102</f>
        <v>1.0200000000000001E-2</v>
      </c>
      <c r="C9" s="20" t="s">
        <v>85</v>
      </c>
      <c r="D9" s="21"/>
      <c r="E9" s="25">
        <f>E5*0.0000102</f>
        <v>1.0200000000000001E-5</v>
      </c>
      <c r="F9" s="20" t="s">
        <v>81</v>
      </c>
      <c r="G9" s="21"/>
      <c r="H9" s="21"/>
      <c r="I9" s="21"/>
      <c r="J9" s="19">
        <f>J6*1000/J5*J7</f>
        <v>147.084</v>
      </c>
      <c r="K9" s="20" t="s">
        <v>9</v>
      </c>
      <c r="M9" s="26">
        <f>M5*3.6</f>
        <v>3.6</v>
      </c>
      <c r="N9" s="15" t="s">
        <v>86</v>
      </c>
    </row>
    <row r="10" spans="2:15" x14ac:dyDescent="0.25">
      <c r="B10" s="25">
        <f>B5*0.0102</f>
        <v>10.200000000000001</v>
      </c>
      <c r="C10" s="20" t="s">
        <v>87</v>
      </c>
      <c r="D10" s="21"/>
      <c r="E10" s="22">
        <f>E5*1000</f>
        <v>1000</v>
      </c>
      <c r="F10" s="20" t="s">
        <v>88</v>
      </c>
      <c r="G10" s="21"/>
      <c r="H10" s="21"/>
      <c r="I10" s="21"/>
    </row>
    <row r="11" spans="2:15" x14ac:dyDescent="0.25">
      <c r="B11" s="25">
        <f>B5*0.102</f>
        <v>102</v>
      </c>
      <c r="C11" s="20" t="s">
        <v>89</v>
      </c>
      <c r="D11" s="21"/>
      <c r="E11" s="22">
        <f>E5*3600000</f>
        <v>3600000</v>
      </c>
      <c r="F11" s="20" t="s">
        <v>90</v>
      </c>
      <c r="G11" s="21"/>
      <c r="H11" s="21"/>
      <c r="I11" s="21"/>
    </row>
    <row r="12" spans="2:15" x14ac:dyDescent="0.25">
      <c r="B12" s="27"/>
      <c r="C12" s="21"/>
      <c r="D12" s="21"/>
      <c r="E12" s="22">
        <f>E5*3600</f>
        <v>3600</v>
      </c>
      <c r="F12" s="20" t="s">
        <v>91</v>
      </c>
      <c r="G12" s="21"/>
      <c r="H12" s="21"/>
      <c r="I12" s="21"/>
    </row>
    <row r="13" spans="2:15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5" spans="2:15" x14ac:dyDescent="0.25">
      <c r="B15" s="29" t="s">
        <v>92</v>
      </c>
      <c r="C15" s="30"/>
      <c r="D15" s="31"/>
      <c r="E15" s="32"/>
    </row>
    <row r="16" spans="2:15" x14ac:dyDescent="0.25">
      <c r="B16" s="29"/>
      <c r="C16" s="30"/>
      <c r="D16" s="31"/>
      <c r="E16" s="32"/>
    </row>
    <row r="17" spans="2:15" x14ac:dyDescent="0.25">
      <c r="B17" s="33" t="s">
        <v>93</v>
      </c>
      <c r="C17" s="34" t="s">
        <v>94</v>
      </c>
      <c r="D17" s="35">
        <v>6</v>
      </c>
      <c r="E17" s="33" t="s">
        <v>29</v>
      </c>
    </row>
    <row r="18" spans="2:15" x14ac:dyDescent="0.25">
      <c r="B18" s="33" t="s">
        <v>95</v>
      </c>
      <c r="C18" s="34" t="s">
        <v>96</v>
      </c>
      <c r="D18" s="35">
        <v>10</v>
      </c>
      <c r="E18" s="33" t="s">
        <v>14</v>
      </c>
    </row>
    <row r="19" spans="2:15" x14ac:dyDescent="0.25">
      <c r="B19" s="33" t="s">
        <v>97</v>
      </c>
      <c r="C19" s="34" t="s">
        <v>98</v>
      </c>
      <c r="D19" s="35">
        <v>22</v>
      </c>
      <c r="E19" s="33" t="s">
        <v>14</v>
      </c>
    </row>
    <row r="20" spans="2:15" x14ac:dyDescent="0.25">
      <c r="B20" s="33" t="s">
        <v>99</v>
      </c>
      <c r="C20" s="34" t="s">
        <v>100</v>
      </c>
      <c r="D20" s="36">
        <f>353/(273+D18)</f>
        <v>1.2473498233215548</v>
      </c>
      <c r="E20" s="33" t="s">
        <v>60</v>
      </c>
    </row>
    <row r="21" spans="2:15" x14ac:dyDescent="0.25">
      <c r="B21" s="33" t="s">
        <v>101</v>
      </c>
      <c r="C21" s="34" t="s">
        <v>102</v>
      </c>
      <c r="D21" s="36">
        <f>353/(273+D19)</f>
        <v>1.1966101694915254</v>
      </c>
      <c r="E21" s="33" t="s">
        <v>60</v>
      </c>
    </row>
    <row r="22" spans="2:15" x14ac:dyDescent="0.25">
      <c r="B22" s="32"/>
      <c r="C22" s="30"/>
      <c r="D22" s="37"/>
      <c r="E22" s="32"/>
    </row>
    <row r="23" spans="2:15" x14ac:dyDescent="0.25">
      <c r="B23" s="33" t="s">
        <v>103</v>
      </c>
      <c r="C23" s="38" t="s">
        <v>16</v>
      </c>
      <c r="D23" s="39">
        <f>9.81*D17*(D20-D21)</f>
        <v>2.9865360244355257</v>
      </c>
      <c r="E23" s="40" t="s">
        <v>6</v>
      </c>
    </row>
    <row r="24" spans="2:15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6" spans="2:15" x14ac:dyDescent="0.25">
      <c r="B26" s="29" t="s">
        <v>37</v>
      </c>
    </row>
    <row r="28" spans="2:15" x14ac:dyDescent="0.25">
      <c r="B28" s="15" t="s">
        <v>38</v>
      </c>
      <c r="C28" s="34" t="s">
        <v>39</v>
      </c>
      <c r="D28" s="35">
        <v>23</v>
      </c>
      <c r="E28" s="33" t="s">
        <v>40</v>
      </c>
    </row>
    <row r="29" spans="2:15" x14ac:dyDescent="0.25">
      <c r="B29" s="15" t="s">
        <v>41</v>
      </c>
      <c r="C29" s="34" t="s">
        <v>42</v>
      </c>
      <c r="D29" s="41">
        <v>0.2</v>
      </c>
      <c r="E29" s="33" t="s">
        <v>43</v>
      </c>
    </row>
    <row r="30" spans="2:15" x14ac:dyDescent="0.25">
      <c r="B30" s="15" t="s">
        <v>44</v>
      </c>
      <c r="C30" s="34" t="s">
        <v>45</v>
      </c>
      <c r="D30" s="35">
        <v>40</v>
      </c>
      <c r="E30" s="33" t="s">
        <v>36</v>
      </c>
    </row>
    <row r="31" spans="2:15" x14ac:dyDescent="0.25">
      <c r="B31" s="15" t="s">
        <v>46</v>
      </c>
      <c r="C31" s="38" t="s">
        <v>47</v>
      </c>
      <c r="D31" s="39">
        <f>(34-D28)*(D29-0.05)^0.62*(0.37*D29*D30+3.14)</f>
        <v>20.696604507212964</v>
      </c>
      <c r="E31" s="40" t="s">
        <v>36</v>
      </c>
    </row>
    <row r="32" spans="2:15" x14ac:dyDescent="0.2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2:15" x14ac:dyDescent="0.25">
      <c r="B33" s="29"/>
    </row>
    <row r="34" spans="2:15" x14ac:dyDescent="0.25">
      <c r="B34" s="29" t="s">
        <v>104</v>
      </c>
    </row>
    <row r="36" spans="2:15" x14ac:dyDescent="0.25">
      <c r="B36" s="15" t="s">
        <v>105</v>
      </c>
      <c r="C36" s="34" t="s">
        <v>106</v>
      </c>
      <c r="D36" s="35">
        <v>1200</v>
      </c>
    </row>
    <row r="37" spans="2:15" x14ac:dyDescent="0.25">
      <c r="B37" s="15" t="s">
        <v>107</v>
      </c>
      <c r="C37" s="34" t="s">
        <v>108</v>
      </c>
      <c r="D37" s="35">
        <v>450</v>
      </c>
    </row>
    <row r="38" spans="2:15" x14ac:dyDescent="0.25">
      <c r="B38" s="15" t="s">
        <v>109</v>
      </c>
      <c r="C38" s="34" t="s">
        <v>110</v>
      </c>
      <c r="D38" s="35">
        <v>1500</v>
      </c>
    </row>
    <row r="39" spans="2:15" x14ac:dyDescent="0.25">
      <c r="B39" s="15" t="s">
        <v>111</v>
      </c>
      <c r="C39" s="38" t="s">
        <v>311</v>
      </c>
      <c r="D39" s="39">
        <f>(D36-D37)/(D38-D37)</f>
        <v>0.7142857142857143</v>
      </c>
    </row>
    <row r="40" spans="2:15" x14ac:dyDescent="0.2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2" spans="2:15" x14ac:dyDescent="0.25">
      <c r="B42" s="29" t="s">
        <v>112</v>
      </c>
    </row>
    <row r="44" spans="2:15" x14ac:dyDescent="0.25">
      <c r="B44" s="15" t="s">
        <v>113</v>
      </c>
      <c r="C44" s="34" t="s">
        <v>114</v>
      </c>
      <c r="D44" s="35">
        <v>7500</v>
      </c>
      <c r="E44" s="15" t="s">
        <v>115</v>
      </c>
    </row>
    <row r="45" spans="2:15" x14ac:dyDescent="0.25">
      <c r="B45" s="15" t="s">
        <v>116</v>
      </c>
      <c r="C45" s="34" t="s">
        <v>117</v>
      </c>
      <c r="D45" s="35">
        <v>2000</v>
      </c>
      <c r="E45" s="15" t="s">
        <v>118</v>
      </c>
    </row>
    <row r="46" spans="2:15" x14ac:dyDescent="0.25">
      <c r="B46" s="15" t="s">
        <v>119</v>
      </c>
      <c r="C46" s="34" t="s">
        <v>120</v>
      </c>
      <c r="D46" s="35">
        <v>450</v>
      </c>
      <c r="E46" s="15" t="s">
        <v>118</v>
      </c>
    </row>
    <row r="47" spans="2:15" x14ac:dyDescent="0.25">
      <c r="B47" s="15" t="s">
        <v>104</v>
      </c>
      <c r="C47" s="34" t="s">
        <v>312</v>
      </c>
      <c r="D47" s="35">
        <v>0.8</v>
      </c>
    </row>
    <row r="48" spans="2:15" x14ac:dyDescent="0.25">
      <c r="B48" s="15" t="s">
        <v>121</v>
      </c>
      <c r="C48" s="34" t="s">
        <v>122</v>
      </c>
      <c r="D48" s="39">
        <f>(D44/(D45-D46))*(1/D47)</f>
        <v>6.0483870967741939</v>
      </c>
      <c r="E48" s="15" t="s">
        <v>123</v>
      </c>
    </row>
    <row r="49" spans="2:15" x14ac:dyDescent="0.25">
      <c r="B49" s="15" t="s">
        <v>121</v>
      </c>
      <c r="C49" s="34" t="s">
        <v>122</v>
      </c>
      <c r="D49" s="39">
        <f>D48*3.6</f>
        <v>21.7741935483871</v>
      </c>
      <c r="E49" s="15" t="s">
        <v>10</v>
      </c>
    </row>
    <row r="50" spans="2:15" x14ac:dyDescent="0.25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2" spans="2:15" x14ac:dyDescent="0.25">
      <c r="B52" s="29" t="s">
        <v>124</v>
      </c>
      <c r="C52" s="30"/>
      <c r="D52" s="31"/>
      <c r="E52" s="32"/>
    </row>
    <row r="53" spans="2:15" x14ac:dyDescent="0.25">
      <c r="B53" s="29"/>
      <c r="C53" s="30"/>
      <c r="D53" s="31"/>
      <c r="E53" s="32"/>
    </row>
    <row r="54" spans="2:15" x14ac:dyDescent="0.25">
      <c r="B54" s="33" t="s">
        <v>125</v>
      </c>
      <c r="D54" s="34" t="s">
        <v>126</v>
      </c>
      <c r="E54" s="35">
        <v>20</v>
      </c>
      <c r="F54" s="33" t="s">
        <v>36</v>
      </c>
    </row>
    <row r="55" spans="2:15" x14ac:dyDescent="0.25">
      <c r="B55" s="33" t="s">
        <v>127</v>
      </c>
      <c r="D55" s="34" t="s">
        <v>128</v>
      </c>
      <c r="E55" s="35">
        <v>35</v>
      </c>
      <c r="F55" s="33" t="s">
        <v>14</v>
      </c>
    </row>
    <row r="56" spans="2:15" x14ac:dyDescent="0.25">
      <c r="B56" s="33" t="s">
        <v>129</v>
      </c>
      <c r="D56" s="34" t="s">
        <v>130</v>
      </c>
      <c r="E56" s="35">
        <v>80</v>
      </c>
      <c r="F56" s="33" t="s">
        <v>36</v>
      </c>
    </row>
    <row r="57" spans="2:15" x14ac:dyDescent="0.25">
      <c r="B57" s="33" t="s">
        <v>131</v>
      </c>
      <c r="D57" s="34" t="s">
        <v>132</v>
      </c>
      <c r="E57" s="35">
        <v>24</v>
      </c>
      <c r="F57" s="33" t="s">
        <v>14</v>
      </c>
    </row>
    <row r="58" spans="2:15" x14ac:dyDescent="0.25">
      <c r="B58" s="32"/>
      <c r="D58" s="30"/>
      <c r="E58" s="37"/>
      <c r="F58" s="32"/>
    </row>
    <row r="59" spans="2:15" x14ac:dyDescent="0.25">
      <c r="B59" s="33" t="s">
        <v>133</v>
      </c>
      <c r="D59" s="38" t="s">
        <v>134</v>
      </c>
      <c r="E59" s="39">
        <f>(E54*E55+E56*E57)/100</f>
        <v>26.2</v>
      </c>
      <c r="F59" s="40" t="s">
        <v>14</v>
      </c>
    </row>
    <row r="60" spans="2:15" x14ac:dyDescent="0.2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2" spans="2:15" x14ac:dyDescent="0.25">
      <c r="B62" s="29" t="s">
        <v>56</v>
      </c>
      <c r="C62" s="30"/>
      <c r="D62" s="31"/>
      <c r="E62" s="32"/>
    </row>
    <row r="63" spans="2:15" x14ac:dyDescent="0.25">
      <c r="B63" s="33" t="s">
        <v>57</v>
      </c>
      <c r="D63" s="38" t="s">
        <v>10</v>
      </c>
      <c r="E63" s="42">
        <v>2948</v>
      </c>
    </row>
    <row r="64" spans="2:15" x14ac:dyDescent="0.25">
      <c r="B64" s="33" t="s">
        <v>58</v>
      </c>
      <c r="D64" s="34" t="s">
        <v>14</v>
      </c>
      <c r="E64" s="42">
        <v>150</v>
      </c>
      <c r="F64" s="42"/>
      <c r="G64" s="42"/>
      <c r="H64" s="42"/>
      <c r="I64" s="42"/>
      <c r="J64" s="42"/>
      <c r="K64" s="42"/>
      <c r="L64" s="42"/>
      <c r="M64" s="42"/>
      <c r="N64" s="42"/>
      <c r="O64" s="42"/>
    </row>
    <row r="65" spans="2:15" x14ac:dyDescent="0.25">
      <c r="B65" s="33" t="s">
        <v>59</v>
      </c>
      <c r="D65" s="34" t="s">
        <v>60</v>
      </c>
      <c r="E65" s="43">
        <f>IF(E64&lt;&gt;0,353/(273+E64),"")</f>
        <v>0.83451536643026003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spans="2:15" x14ac:dyDescent="0.25">
      <c r="B66" s="33" t="s">
        <v>61</v>
      </c>
      <c r="D66" s="34" t="s">
        <v>62</v>
      </c>
      <c r="E66" s="44">
        <f>$E$63*E65</f>
        <v>2460.1513002364068</v>
      </c>
      <c r="F66" s="44"/>
      <c r="G66" s="44"/>
      <c r="H66" s="44"/>
      <c r="I66" s="44"/>
      <c r="J66" s="44"/>
      <c r="K66" s="44"/>
      <c r="L66" s="44"/>
      <c r="M66" s="44"/>
      <c r="N66" s="44"/>
      <c r="O66" s="44"/>
    </row>
    <row r="67" spans="2:15" x14ac:dyDescent="0.25">
      <c r="B67" s="33"/>
      <c r="D67" s="3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2:15" x14ac:dyDescent="0.25">
      <c r="B68" s="29" t="s">
        <v>63</v>
      </c>
      <c r="D68" s="34"/>
      <c r="E68" s="44"/>
      <c r="F68" s="44"/>
      <c r="G68" s="44"/>
      <c r="H68" s="44"/>
      <c r="I68" s="44"/>
      <c r="J68" s="44"/>
    </row>
    <row r="69" spans="2:15" x14ac:dyDescent="0.25">
      <c r="B69" s="33" t="s">
        <v>61</v>
      </c>
      <c r="D69" s="38" t="s">
        <v>62</v>
      </c>
      <c r="E69" s="42">
        <v>50000</v>
      </c>
    </row>
    <row r="70" spans="2:15" x14ac:dyDescent="0.25">
      <c r="B70" s="33" t="s">
        <v>58</v>
      </c>
      <c r="D70" s="34" t="s">
        <v>14</v>
      </c>
      <c r="E70" s="42">
        <v>-10</v>
      </c>
      <c r="F70" s="42">
        <v>25</v>
      </c>
      <c r="G70" s="42">
        <v>150</v>
      </c>
      <c r="H70" s="42">
        <v>300</v>
      </c>
      <c r="I70" s="42">
        <v>350</v>
      </c>
      <c r="J70" s="42">
        <v>500</v>
      </c>
      <c r="K70" s="42">
        <v>600</v>
      </c>
      <c r="L70" s="42">
        <v>700</v>
      </c>
      <c r="M70" s="42">
        <v>800</v>
      </c>
      <c r="N70" s="42">
        <v>900</v>
      </c>
      <c r="O70" s="42">
        <v>1000</v>
      </c>
    </row>
    <row r="71" spans="2:15" x14ac:dyDescent="0.25">
      <c r="B71" s="33" t="s">
        <v>59</v>
      </c>
      <c r="D71" s="34" t="s">
        <v>60</v>
      </c>
      <c r="E71" s="43">
        <f t="shared" ref="E71:O71" si="0">IF(E70&lt;&gt;0,353/(273+E70),"")</f>
        <v>1.3422053231939164</v>
      </c>
      <c r="F71" s="43">
        <f t="shared" si="0"/>
        <v>1.1845637583892616</v>
      </c>
      <c r="G71" s="43">
        <f t="shared" si="0"/>
        <v>0.83451536643026003</v>
      </c>
      <c r="H71" s="43">
        <f t="shared" si="0"/>
        <v>0.61605584642233857</v>
      </c>
      <c r="I71" s="43">
        <f t="shared" si="0"/>
        <v>0.5666131621187801</v>
      </c>
      <c r="J71" s="43">
        <f t="shared" si="0"/>
        <v>0.45666235446313064</v>
      </c>
      <c r="K71" s="43">
        <f t="shared" si="0"/>
        <v>0.40435280641466209</v>
      </c>
      <c r="L71" s="43">
        <f t="shared" si="0"/>
        <v>0.36279547790339156</v>
      </c>
      <c r="M71" s="43">
        <f t="shared" si="0"/>
        <v>0.32898415657036345</v>
      </c>
      <c r="N71" s="43">
        <f t="shared" si="0"/>
        <v>0.30093776641091219</v>
      </c>
      <c r="O71" s="43">
        <f t="shared" si="0"/>
        <v>0.27729772191673213</v>
      </c>
    </row>
    <row r="72" spans="2:15" x14ac:dyDescent="0.25">
      <c r="B72" s="33" t="s">
        <v>57</v>
      </c>
      <c r="D72" s="34" t="s">
        <v>10</v>
      </c>
      <c r="E72" s="44">
        <f t="shared" ref="E72:O72" si="1">$E$69/E71</f>
        <v>37252.124645892349</v>
      </c>
      <c r="F72" s="44">
        <f t="shared" si="1"/>
        <v>42209.63172804533</v>
      </c>
      <c r="G72" s="44">
        <f t="shared" si="1"/>
        <v>59915.014164305947</v>
      </c>
      <c r="H72" s="44">
        <f t="shared" si="1"/>
        <v>81161.473087818697</v>
      </c>
      <c r="I72" s="44">
        <f t="shared" si="1"/>
        <v>88243.626062322946</v>
      </c>
      <c r="J72" s="44">
        <f t="shared" si="1"/>
        <v>109490.0849858357</v>
      </c>
      <c r="K72" s="44">
        <f t="shared" si="1"/>
        <v>123654.3909348442</v>
      </c>
      <c r="L72" s="44">
        <f t="shared" si="1"/>
        <v>137818.69688385271</v>
      </c>
      <c r="M72" s="44">
        <f t="shared" si="1"/>
        <v>151983.00283286121</v>
      </c>
      <c r="N72" s="44">
        <f t="shared" si="1"/>
        <v>166147.30878186968</v>
      </c>
      <c r="O72" s="44">
        <f t="shared" si="1"/>
        <v>180311.61473087818</v>
      </c>
    </row>
    <row r="73" spans="2:15" x14ac:dyDescent="0.25">
      <c r="B73" s="33" t="s">
        <v>11</v>
      </c>
      <c r="D73" s="34" t="s">
        <v>1</v>
      </c>
      <c r="E73" s="44"/>
      <c r="F73" s="44">
        <f>(F71*0.24*F72*(F70-$E$70))/860</f>
        <v>488.37209302325579</v>
      </c>
      <c r="G73" s="44">
        <f t="shared" ref="G73:O73" si="2">(G71*0.24*G72*(G70-$E$70))/860</f>
        <v>2232.5581395348836</v>
      </c>
      <c r="H73" s="44">
        <f t="shared" si="2"/>
        <v>4325.5813953488368</v>
      </c>
      <c r="I73" s="44">
        <f t="shared" si="2"/>
        <v>5023.2558139534876</v>
      </c>
      <c r="J73" s="44">
        <f t="shared" si="2"/>
        <v>7116.2790697674418</v>
      </c>
      <c r="K73" s="44">
        <f t="shared" si="2"/>
        <v>8511.6279069767443</v>
      </c>
      <c r="L73" s="44">
        <f t="shared" si="2"/>
        <v>9906.9767441860458</v>
      </c>
      <c r="M73" s="44">
        <f t="shared" si="2"/>
        <v>11302.325581395349</v>
      </c>
      <c r="N73" s="44">
        <f t="shared" si="2"/>
        <v>12697.674418604651</v>
      </c>
      <c r="O73" s="44">
        <f t="shared" si="2"/>
        <v>14093.023255813954</v>
      </c>
    </row>
    <row r="74" spans="2:15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6" spans="2:15" x14ac:dyDescent="0.25">
      <c r="B76" s="45" t="s">
        <v>135</v>
      </c>
    </row>
    <row r="77" spans="2:15" x14ac:dyDescent="0.25">
      <c r="D77" s="46"/>
      <c r="E77" s="46"/>
    </row>
    <row r="78" spans="2:15" x14ac:dyDescent="0.25">
      <c r="B78" s="45"/>
      <c r="D78" s="46">
        <v>1</v>
      </c>
      <c r="E78" s="46">
        <v>2</v>
      </c>
    </row>
    <row r="79" spans="2:15" x14ac:dyDescent="0.25">
      <c r="B79" s="15" t="s">
        <v>136</v>
      </c>
      <c r="C79" s="47" t="s">
        <v>73</v>
      </c>
      <c r="D79" s="42">
        <v>100</v>
      </c>
      <c r="E79" s="42">
        <v>100</v>
      </c>
    </row>
    <row r="80" spans="2:15" x14ac:dyDescent="0.25">
      <c r="B80" s="15" t="s">
        <v>137</v>
      </c>
      <c r="C80" s="47" t="s">
        <v>138</v>
      </c>
      <c r="D80" s="35">
        <v>350</v>
      </c>
      <c r="E80" s="35">
        <v>20</v>
      </c>
      <c r="F80" s="15" t="s">
        <v>14</v>
      </c>
      <c r="G80" s="47" t="s">
        <v>139</v>
      </c>
      <c r="H80" s="48">
        <f>-(D80-E80)</f>
        <v>-330</v>
      </c>
      <c r="I80" s="15" t="s">
        <v>14</v>
      </c>
    </row>
    <row r="81" spans="2:15" x14ac:dyDescent="0.25">
      <c r="B81" s="15" t="s">
        <v>140</v>
      </c>
      <c r="D81" s="42">
        <v>1</v>
      </c>
      <c r="E81" s="42">
        <v>60</v>
      </c>
      <c r="F81" s="15" t="s">
        <v>15</v>
      </c>
      <c r="G81" s="47"/>
      <c r="H81" s="49"/>
    </row>
    <row r="82" spans="2:15" x14ac:dyDescent="0.25">
      <c r="B82" s="15" t="s">
        <v>141</v>
      </c>
      <c r="C82" s="50">
        <f>D82*E86/D86</f>
        <v>3015.0648464163824</v>
      </c>
      <c r="D82" s="42">
        <v>1418</v>
      </c>
      <c r="E82" s="50">
        <f>D82*D86/E86</f>
        <v>666.89245585874801</v>
      </c>
      <c r="F82" s="15" t="s">
        <v>10</v>
      </c>
      <c r="G82" s="47"/>
      <c r="H82" s="49"/>
    </row>
    <row r="83" spans="2:15" x14ac:dyDescent="0.25">
      <c r="G83" s="47"/>
      <c r="H83" s="49"/>
    </row>
    <row r="84" spans="2:15" x14ac:dyDescent="0.25">
      <c r="B84" s="15" t="s">
        <v>142</v>
      </c>
      <c r="D84" s="50">
        <f>IF(D80&gt;=0,610.5*2.718^((17.269*D80)/(237.3+D80)),610.5*2.718^((21.875*D80)/(265.5+D80)))</f>
        <v>17977465.061958384</v>
      </c>
      <c r="E84" s="50">
        <f>IF(E80&gt;=0,610.5*2.718^((17.269*E80)/(237.3+E80)),610.5*2.718^((21.875*E80)/(265.5+E80)))</f>
        <v>2336.6259144838668</v>
      </c>
      <c r="F84" s="15" t="s">
        <v>6</v>
      </c>
      <c r="G84" s="47" t="s">
        <v>139</v>
      </c>
      <c r="H84" s="50">
        <f>-(D84-E84)</f>
        <v>-17975128.4360439</v>
      </c>
      <c r="I84" s="15" t="s">
        <v>6</v>
      </c>
    </row>
    <row r="85" spans="2:15" x14ac:dyDescent="0.25">
      <c r="B85" s="15" t="s">
        <v>143</v>
      </c>
      <c r="D85" s="37">
        <f>623*((D81*D84/100)/(D79*1000-D81*D84/100))</f>
        <v>-1403.9498320097437</v>
      </c>
      <c r="E85" s="37">
        <f>623*((E81*E84/100)/(E79*1000-E81*E84/100))</f>
        <v>8.8585016961003369</v>
      </c>
      <c r="F85" s="15" t="s">
        <v>144</v>
      </c>
      <c r="G85" s="47" t="s">
        <v>139</v>
      </c>
      <c r="H85" s="48">
        <f>-(D85-E85)</f>
        <v>1412.808333705844</v>
      </c>
      <c r="I85" s="15" t="s">
        <v>144</v>
      </c>
    </row>
    <row r="86" spans="2:15" x14ac:dyDescent="0.25">
      <c r="B86" s="15" t="s">
        <v>21</v>
      </c>
      <c r="D86" s="43">
        <f>IF(D80&lt;&gt;0,353/(273+D80),"")</f>
        <v>0.5666131621187801</v>
      </c>
      <c r="E86" s="43">
        <f>IF(E80&lt;&gt;0,353/(273+E80),"")</f>
        <v>1.204778156996587</v>
      </c>
      <c r="F86" s="15" t="s">
        <v>60</v>
      </c>
      <c r="G86" s="47" t="s">
        <v>139</v>
      </c>
      <c r="H86" s="43">
        <f>-(D86-E86)</f>
        <v>0.63816499487780687</v>
      </c>
      <c r="I86" s="15" t="s">
        <v>60</v>
      </c>
    </row>
    <row r="87" spans="2:15" x14ac:dyDescent="0.25">
      <c r="B87" s="15" t="s">
        <v>145</v>
      </c>
      <c r="D87" s="37">
        <f>1.005*D80+(2500+1.8*D80)*D85/1000</f>
        <v>-4042.6129741904979</v>
      </c>
      <c r="E87" s="37">
        <f>1.005*E80+(2500+1.8*E80)*E85/1000</f>
        <v>42.565160301310456</v>
      </c>
      <c r="F87" s="15" t="s">
        <v>146</v>
      </c>
      <c r="G87" s="47" t="s">
        <v>139</v>
      </c>
      <c r="H87" s="48">
        <f>-(D87-E87)</f>
        <v>4085.1781344918081</v>
      </c>
      <c r="I87" s="15" t="s">
        <v>146</v>
      </c>
    </row>
    <row r="88" spans="2:15" x14ac:dyDescent="0.25">
      <c r="B88" s="15" t="s">
        <v>69</v>
      </c>
      <c r="D88" s="26"/>
      <c r="E88" s="26"/>
      <c r="G88" s="47" t="s">
        <v>147</v>
      </c>
      <c r="H88" s="50">
        <f>D82*H87</f>
        <v>5792782.5947093843</v>
      </c>
      <c r="I88" s="15" t="s">
        <v>146</v>
      </c>
      <c r="J88" s="50">
        <f>E82*H87</f>
        <v>2724374.4787317007</v>
      </c>
    </row>
    <row r="89" spans="2:15" x14ac:dyDescent="0.25">
      <c r="B89" s="15" t="s">
        <v>69</v>
      </c>
      <c r="D89" s="43">
        <f>D87*0.0002778</f>
        <v>-1.1230378842301203</v>
      </c>
      <c r="E89" s="43">
        <f>E87*0.0002778</f>
        <v>1.1824601531704044E-2</v>
      </c>
      <c r="F89" s="15" t="s">
        <v>148</v>
      </c>
      <c r="G89" s="47" t="s">
        <v>147</v>
      </c>
      <c r="H89" s="37">
        <f>H88*0.0002778</f>
        <v>1609.2350048102669</v>
      </c>
      <c r="I89" s="15" t="s">
        <v>148</v>
      </c>
      <c r="J89" s="37">
        <f>J88*0.0002778</f>
        <v>756.83123019166635</v>
      </c>
    </row>
    <row r="90" spans="2:15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2:15" x14ac:dyDescent="0.25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5" x14ac:dyDescent="0.25">
      <c r="B92" s="45" t="s">
        <v>149</v>
      </c>
    </row>
    <row r="93" spans="2:15" x14ac:dyDescent="0.25">
      <c r="B93" s="45" t="s">
        <v>150</v>
      </c>
      <c r="D93" s="46"/>
      <c r="E93" s="46" t="s">
        <v>151</v>
      </c>
      <c r="F93" s="15" t="s">
        <v>152</v>
      </c>
    </row>
    <row r="94" spans="2:15" x14ac:dyDescent="0.25">
      <c r="B94" s="15" t="s">
        <v>153</v>
      </c>
      <c r="C94" s="47" t="s">
        <v>6</v>
      </c>
      <c r="D94" s="42">
        <v>30</v>
      </c>
      <c r="E94" s="42">
        <v>20</v>
      </c>
      <c r="F94" s="43">
        <f>IF(E94&lt;&gt;0,353/(273+E94),"")</f>
        <v>1.204778156996587</v>
      </c>
      <c r="G94" s="15" t="s">
        <v>60</v>
      </c>
    </row>
    <row r="95" spans="2:15" x14ac:dyDescent="0.25">
      <c r="B95" s="15" t="s">
        <v>154</v>
      </c>
      <c r="C95" s="47" t="s">
        <v>6</v>
      </c>
      <c r="D95" s="42">
        <v>10</v>
      </c>
      <c r="E95" s="42">
        <v>20</v>
      </c>
      <c r="F95" s="43">
        <f>IF(E95&lt;&gt;0,353/(273+E95),"")</f>
        <v>1.204778156996587</v>
      </c>
      <c r="G95" s="15" t="s">
        <v>60</v>
      </c>
    </row>
    <row r="96" spans="2:15" x14ac:dyDescent="0.25">
      <c r="B96" s="15" t="s">
        <v>155</v>
      </c>
      <c r="C96" s="47" t="s">
        <v>156</v>
      </c>
      <c r="D96" s="42">
        <v>1</v>
      </c>
      <c r="E96" s="42">
        <v>2</v>
      </c>
      <c r="F96" s="42">
        <v>3</v>
      </c>
    </row>
    <row r="97" spans="2:15" x14ac:dyDescent="0.25">
      <c r="B97" s="15" t="s">
        <v>157</v>
      </c>
      <c r="C97" s="47" t="s">
        <v>29</v>
      </c>
      <c r="D97" s="35">
        <v>0.8</v>
      </c>
      <c r="E97" s="35">
        <v>0</v>
      </c>
      <c r="F97" s="35">
        <v>0</v>
      </c>
      <c r="G97" s="47"/>
      <c r="H97" s="48"/>
    </row>
    <row r="98" spans="2:15" x14ac:dyDescent="0.25">
      <c r="B98" s="15" t="s">
        <v>158</v>
      </c>
      <c r="C98" s="47" t="s">
        <v>29</v>
      </c>
      <c r="D98" s="35">
        <v>2.2000000000000002</v>
      </c>
      <c r="E98" s="35">
        <v>0</v>
      </c>
      <c r="F98" s="35">
        <v>0</v>
      </c>
      <c r="G98" s="47"/>
      <c r="H98" s="49"/>
    </row>
    <row r="99" spans="2:15" x14ac:dyDescent="0.25">
      <c r="B99" s="15" t="s">
        <v>159</v>
      </c>
      <c r="C99" s="47" t="s">
        <v>160</v>
      </c>
      <c r="D99" s="35">
        <v>1</v>
      </c>
      <c r="E99" s="35">
        <v>0</v>
      </c>
      <c r="F99" s="35">
        <v>0</v>
      </c>
      <c r="G99" s="31" t="s">
        <v>161</v>
      </c>
      <c r="H99" s="49"/>
    </row>
    <row r="100" spans="2:15" x14ac:dyDescent="0.25">
      <c r="B100" s="15" t="s">
        <v>162</v>
      </c>
      <c r="C100" s="47" t="s">
        <v>55</v>
      </c>
      <c r="D100" s="52">
        <f>2*(D97+D98)*D99/1000</f>
        <v>6.0000000000000001E-3</v>
      </c>
      <c r="E100" s="52">
        <f>2*(E97+E98)*E99/1000</f>
        <v>0</v>
      </c>
      <c r="F100" s="52">
        <f>2*(F97+F98)*F99/1000</f>
        <v>0</v>
      </c>
      <c r="G100" s="52">
        <f>D100+E100+F100</f>
        <v>6.0000000000000001E-3</v>
      </c>
      <c r="H100" s="49"/>
    </row>
    <row r="101" spans="2:15" x14ac:dyDescent="0.25">
      <c r="B101" s="15" t="s">
        <v>35</v>
      </c>
      <c r="C101" s="47" t="s">
        <v>10</v>
      </c>
      <c r="D101" s="50">
        <f>IF(D99&gt;=1,E101,F101)</f>
        <v>149.07185906744436</v>
      </c>
      <c r="E101" s="53">
        <f>3600*0.62*G100*((2*D95*F95^-1)^0.5+(2*D94*F94^-1)^0.5)</f>
        <v>149.07185906744436</v>
      </c>
      <c r="F101" s="53">
        <f>3600*0.62*G100*((2*D95*1.2^-1)^0.67+(2*D94*1.2^-1)^0.67)</f>
        <v>272.34620634763201</v>
      </c>
      <c r="G101" s="47"/>
      <c r="H101" s="50"/>
    </row>
    <row r="102" spans="2:15" x14ac:dyDescent="0.25">
      <c r="D102" s="37"/>
      <c r="E102" s="53" t="s">
        <v>163</v>
      </c>
      <c r="F102" s="53" t="s">
        <v>164</v>
      </c>
      <c r="G102" s="47"/>
      <c r="H102" s="48"/>
    </row>
    <row r="103" spans="2:15" x14ac:dyDescent="0.25">
      <c r="B103" s="45" t="s">
        <v>165</v>
      </c>
      <c r="D103" s="43"/>
      <c r="E103" s="43"/>
      <c r="G103" s="47"/>
      <c r="H103" s="43"/>
    </row>
    <row r="104" spans="2:15" x14ac:dyDescent="0.25">
      <c r="B104" s="15" t="s">
        <v>166</v>
      </c>
      <c r="C104" s="47" t="s">
        <v>6</v>
      </c>
      <c r="D104" s="42">
        <v>30</v>
      </c>
      <c r="E104" s="42">
        <v>10</v>
      </c>
      <c r="F104" s="43"/>
    </row>
    <row r="105" spans="2:15" x14ac:dyDescent="0.25">
      <c r="D105" s="50">
        <f>IF(D99&gt;=1,E105,F105)</f>
        <v>149.39428994342495</v>
      </c>
      <c r="E105" s="53">
        <f>2882*G100*((D104^0.5)+(E104^0.5))</f>
        <v>149.39428994342495</v>
      </c>
      <c r="F105" s="53">
        <f>3143*G100*((D104^0.67)+(E104^0.67))</f>
        <v>272.3534359752623</v>
      </c>
      <c r="G105" s="47"/>
      <c r="H105" s="48"/>
    </row>
    <row r="106" spans="2:15" x14ac:dyDescent="0.25">
      <c r="D106" s="26"/>
      <c r="E106" s="26"/>
      <c r="G106" s="47"/>
      <c r="H106" s="50"/>
      <c r="J106" s="50"/>
    </row>
    <row r="107" spans="2:15" x14ac:dyDescent="0.2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9" spans="2:15" x14ac:dyDescent="0.25">
      <c r="B109" s="45" t="s">
        <v>167</v>
      </c>
    </row>
    <row r="110" spans="2:15" x14ac:dyDescent="0.25">
      <c r="D110" s="46"/>
      <c r="E110" s="46"/>
    </row>
    <row r="111" spans="2:15" x14ac:dyDescent="0.25">
      <c r="B111" s="45"/>
      <c r="D111" s="46" t="s">
        <v>168</v>
      </c>
      <c r="E111" s="46" t="s">
        <v>169</v>
      </c>
    </row>
    <row r="112" spans="2:15" x14ac:dyDescent="0.25">
      <c r="B112" s="15" t="s">
        <v>170</v>
      </c>
      <c r="C112" s="47" t="s">
        <v>73</v>
      </c>
      <c r="D112" s="42">
        <v>100</v>
      </c>
      <c r="E112" s="42">
        <v>100</v>
      </c>
    </row>
    <row r="113" spans="2:15" x14ac:dyDescent="0.25">
      <c r="B113" s="15" t="s">
        <v>137</v>
      </c>
      <c r="C113" s="47" t="s">
        <v>138</v>
      </c>
      <c r="D113" s="35">
        <v>19</v>
      </c>
      <c r="E113" s="35">
        <v>30</v>
      </c>
      <c r="F113" s="15" t="s">
        <v>14</v>
      </c>
      <c r="G113" s="47" t="s">
        <v>139</v>
      </c>
      <c r="H113" s="48">
        <f>-(D113-E113)</f>
        <v>11</v>
      </c>
      <c r="I113" s="15" t="s">
        <v>14</v>
      </c>
    </row>
    <row r="114" spans="2:15" x14ac:dyDescent="0.25">
      <c r="B114" s="15" t="s">
        <v>140</v>
      </c>
      <c r="D114" s="42">
        <v>50</v>
      </c>
      <c r="E114" s="42">
        <v>60</v>
      </c>
      <c r="F114" s="15" t="s">
        <v>15</v>
      </c>
      <c r="G114" s="47"/>
      <c r="H114" s="49"/>
    </row>
    <row r="115" spans="2:15" x14ac:dyDescent="0.25">
      <c r="B115" s="15" t="s">
        <v>171</v>
      </c>
      <c r="C115" s="50"/>
      <c r="D115" s="42">
        <v>200</v>
      </c>
      <c r="E115" s="50"/>
      <c r="F115" s="15" t="s">
        <v>55</v>
      </c>
      <c r="G115" s="47"/>
      <c r="H115" s="49"/>
    </row>
    <row r="116" spans="2:15" x14ac:dyDescent="0.25">
      <c r="B116" s="15" t="s">
        <v>172</v>
      </c>
      <c r="C116" s="50"/>
      <c r="D116" s="35">
        <v>20</v>
      </c>
      <c r="E116" s="50"/>
      <c r="F116" s="15" t="s">
        <v>173</v>
      </c>
      <c r="G116" s="47"/>
      <c r="H116" s="49"/>
    </row>
    <row r="117" spans="2:15" x14ac:dyDescent="0.25">
      <c r="G117" s="47"/>
      <c r="H117" s="49"/>
    </row>
    <row r="118" spans="2:15" x14ac:dyDescent="0.25">
      <c r="B118" s="15" t="s">
        <v>142</v>
      </c>
      <c r="D118" s="50">
        <f>IF(D113&gt;=0,610.5*2.718^((17.269*D113)/(237.3+D113)),610.5*2.718^((21.875*D113)/(265.5+D113)))</f>
        <v>2195.8597567051606</v>
      </c>
      <c r="E118" s="50">
        <f>IF(E113&gt;=0,610.5*2.718^((17.269*E113)/(237.3+E113)),610.5*2.718^((21.875*E113)/(265.5+E113)))</f>
        <v>4239.6530133444712</v>
      </c>
      <c r="F118" s="15" t="s">
        <v>6</v>
      </c>
      <c r="G118" s="47" t="s">
        <v>139</v>
      </c>
      <c r="H118" s="50">
        <f t="shared" ref="H118:H123" si="3">-(D118-E118)</f>
        <v>2043.7932566393106</v>
      </c>
      <c r="I118" s="15" t="s">
        <v>6</v>
      </c>
    </row>
    <row r="119" spans="2:15" x14ac:dyDescent="0.25">
      <c r="B119" s="15" t="s">
        <v>174</v>
      </c>
      <c r="D119" s="50">
        <f>D118*D114/100</f>
        <v>1097.9298783525803</v>
      </c>
      <c r="E119" s="50">
        <f>E118*E114/100</f>
        <v>2543.7918080066829</v>
      </c>
      <c r="F119" s="15" t="s">
        <v>6</v>
      </c>
      <c r="G119" s="47" t="s">
        <v>139</v>
      </c>
      <c r="H119" s="50">
        <f t="shared" si="3"/>
        <v>1445.8619296541026</v>
      </c>
      <c r="I119" s="15" t="s">
        <v>6</v>
      </c>
    </row>
    <row r="120" spans="2:15" x14ac:dyDescent="0.25">
      <c r="B120" s="15" t="s">
        <v>174</v>
      </c>
      <c r="D120" s="37">
        <f>D119/100</f>
        <v>10.979298783525802</v>
      </c>
      <c r="E120" s="37">
        <f>E119/100</f>
        <v>25.437918080066829</v>
      </c>
      <c r="F120" s="15" t="s">
        <v>175</v>
      </c>
      <c r="G120" s="47" t="s">
        <v>139</v>
      </c>
      <c r="H120" s="50">
        <f t="shared" si="3"/>
        <v>14.458619296541027</v>
      </c>
      <c r="I120" s="15" t="s">
        <v>175</v>
      </c>
    </row>
    <row r="121" spans="2:15" x14ac:dyDescent="0.25">
      <c r="B121" s="15" t="s">
        <v>143</v>
      </c>
      <c r="D121" s="37">
        <f>623*((D114*D118/100)/(D112*1000-D114*D118/100))</f>
        <v>6.9160363718609679</v>
      </c>
      <c r="E121" s="37">
        <f>623*((E114*E118/100)/(E112*1000-E114*E118/100))</f>
        <v>16.261481190260017</v>
      </c>
      <c r="F121" s="15" t="s">
        <v>144</v>
      </c>
      <c r="G121" s="47" t="s">
        <v>139</v>
      </c>
      <c r="H121" s="48">
        <f t="shared" si="3"/>
        <v>9.3454448183990486</v>
      </c>
      <c r="I121" s="15" t="s">
        <v>144</v>
      </c>
    </row>
    <row r="122" spans="2:15" x14ac:dyDescent="0.25">
      <c r="B122" s="15" t="s">
        <v>21</v>
      </c>
      <c r="D122" s="43">
        <f>IF(D113&lt;&gt;0,353/(273+D113),"")</f>
        <v>1.2089041095890412</v>
      </c>
      <c r="E122" s="43">
        <f>IF(E113&lt;&gt;0,353/(273+E113),"")</f>
        <v>1.165016501650165</v>
      </c>
      <c r="F122" s="15" t="s">
        <v>60</v>
      </c>
      <c r="G122" s="47" t="s">
        <v>139</v>
      </c>
      <c r="H122" s="43">
        <f t="shared" si="3"/>
        <v>-4.3887607938876139E-2</v>
      </c>
      <c r="I122" s="15" t="s">
        <v>60</v>
      </c>
    </row>
    <row r="123" spans="2:15" x14ac:dyDescent="0.25">
      <c r="B123" s="15" t="s">
        <v>145</v>
      </c>
      <c r="D123" s="37">
        <f>1.005*D113+(2500+1.8*D113)*D121/1000</f>
        <v>36.621619373570056</v>
      </c>
      <c r="E123" s="37">
        <f>1.005*E113+(2500+1.8*E113)*E121/1000</f>
        <v>71.681822959924091</v>
      </c>
      <c r="F123" s="15" t="s">
        <v>146</v>
      </c>
      <c r="G123" s="47" t="s">
        <v>139</v>
      </c>
      <c r="H123" s="48">
        <f t="shared" si="3"/>
        <v>35.060203586354035</v>
      </c>
      <c r="I123" s="15" t="s">
        <v>146</v>
      </c>
    </row>
    <row r="124" spans="2:15" x14ac:dyDescent="0.25">
      <c r="B124" s="15" t="s">
        <v>176</v>
      </c>
      <c r="D124" s="217">
        <f>D116*D115*(D120-E120)</f>
        <v>-57834.477186164106</v>
      </c>
      <c r="E124" s="217"/>
      <c r="F124" s="15" t="s">
        <v>177</v>
      </c>
      <c r="G124" s="47" t="s">
        <v>147</v>
      </c>
      <c r="H124" s="50">
        <f>D115*H123</f>
        <v>7012.0407172708074</v>
      </c>
      <c r="I124" s="15" t="s">
        <v>146</v>
      </c>
      <c r="J124" s="50"/>
    </row>
    <row r="125" spans="2:15" x14ac:dyDescent="0.25">
      <c r="B125" s="15" t="s">
        <v>176</v>
      </c>
      <c r="D125" s="218">
        <f>D124/1000</f>
        <v>-57.834477186164108</v>
      </c>
      <c r="E125" s="218"/>
      <c r="F125" s="15" t="s">
        <v>178</v>
      </c>
      <c r="G125" s="47" t="s">
        <v>147</v>
      </c>
      <c r="H125" s="37">
        <f>H124*0.0002778</f>
        <v>1.9479449112578302</v>
      </c>
      <c r="I125" s="15" t="s">
        <v>148</v>
      </c>
      <c r="J125" s="37"/>
    </row>
    <row r="126" spans="2:15" x14ac:dyDescent="0.25">
      <c r="B126" s="15" t="s">
        <v>179</v>
      </c>
      <c r="D126" s="218">
        <f>D125*24</f>
        <v>-1388.0274524679385</v>
      </c>
      <c r="E126" s="218"/>
      <c r="F126" s="15" t="s">
        <v>180</v>
      </c>
      <c r="G126" s="47"/>
      <c r="H126" s="37"/>
      <c r="J126" s="37"/>
    </row>
    <row r="127" spans="2:15" s="58" customFormat="1" x14ac:dyDescent="0.25">
      <c r="B127" s="54"/>
      <c r="C127" s="55"/>
      <c r="D127" s="56"/>
      <c r="E127" s="54"/>
      <c r="F127" s="54"/>
      <c r="G127" s="54"/>
      <c r="H127" s="54"/>
      <c r="I127" s="54"/>
      <c r="J127" s="55"/>
      <c r="K127" s="57"/>
      <c r="L127" s="54"/>
      <c r="M127" s="54"/>
      <c r="N127" s="54"/>
      <c r="O127" s="54"/>
    </row>
    <row r="129" spans="2:17" x14ac:dyDescent="0.25">
      <c r="B129" s="59" t="s">
        <v>306</v>
      </c>
      <c r="I129" s="15" t="s">
        <v>197</v>
      </c>
      <c r="M129" s="60">
        <f>D149</f>
        <v>1.6742116895241435</v>
      </c>
      <c r="N129" s="15" t="s">
        <v>6</v>
      </c>
    </row>
    <row r="130" spans="2:17" x14ac:dyDescent="0.25">
      <c r="I130" s="15" t="s">
        <v>307</v>
      </c>
      <c r="M130" s="22">
        <f>D131-M129</f>
        <v>13.325788310475856</v>
      </c>
      <c r="N130" s="15" t="s">
        <v>6</v>
      </c>
      <c r="O130" s="15">
        <f>0.07523*((M130*(D132+273)*D133)^0.5)</f>
        <v>4.7007951599767184</v>
      </c>
      <c r="P130" s="15" t="s">
        <v>43</v>
      </c>
    </row>
    <row r="131" spans="2:17" x14ac:dyDescent="0.25">
      <c r="B131" s="15" t="s">
        <v>181</v>
      </c>
      <c r="C131" s="47" t="s">
        <v>182</v>
      </c>
      <c r="D131" s="61">
        <v>15</v>
      </c>
      <c r="E131" s="15" t="s">
        <v>6</v>
      </c>
      <c r="F131" s="15" t="s">
        <v>313</v>
      </c>
      <c r="G131" s="62">
        <v>200</v>
      </c>
      <c r="H131" s="15" t="s">
        <v>160</v>
      </c>
      <c r="I131" s="15" t="s">
        <v>308</v>
      </c>
      <c r="M131" s="22">
        <f>D131+M129</f>
        <v>16.674211689524142</v>
      </c>
      <c r="N131" s="15" t="s">
        <v>6</v>
      </c>
      <c r="O131" s="15">
        <f>0.07523*((M131*(D132+273)*D133)^0.5)</f>
        <v>5.2583262408241138</v>
      </c>
      <c r="P131" s="15" t="s">
        <v>43</v>
      </c>
    </row>
    <row r="132" spans="2:17" x14ac:dyDescent="0.25">
      <c r="B132" s="15" t="s">
        <v>137</v>
      </c>
      <c r="C132" s="47" t="s">
        <v>183</v>
      </c>
      <c r="D132" s="63">
        <v>20</v>
      </c>
      <c r="E132" s="58" t="s">
        <v>14</v>
      </c>
      <c r="F132" s="15" t="s">
        <v>303</v>
      </c>
      <c r="G132" s="23">
        <f>PI()*(G131/2000)*(G131/2000)</f>
        <v>3.1415926535897934E-2</v>
      </c>
      <c r="H132" s="15" t="s">
        <v>55</v>
      </c>
      <c r="I132" s="15" t="s">
        <v>309</v>
      </c>
      <c r="M132" s="19">
        <f>O130*G132*3600</f>
        <v>531.6474074620794</v>
      </c>
      <c r="N132" s="15" t="s">
        <v>10</v>
      </c>
    </row>
    <row r="133" spans="2:17" x14ac:dyDescent="0.25">
      <c r="B133" s="15" t="s">
        <v>184</v>
      </c>
      <c r="C133" s="47" t="s">
        <v>185</v>
      </c>
      <c r="D133" s="31">
        <v>1</v>
      </c>
      <c r="F133" s="15" t="s">
        <v>3</v>
      </c>
      <c r="G133" s="19">
        <f>D134*G132*3600</f>
        <v>564.05684642642177</v>
      </c>
      <c r="H133" s="15" t="s">
        <v>10</v>
      </c>
      <c r="I133" s="15" t="s">
        <v>310</v>
      </c>
      <c r="M133" s="19">
        <f>O131*G132*3600</f>
        <v>594.7026871806529</v>
      </c>
      <c r="N133" s="15" t="s">
        <v>10</v>
      </c>
    </row>
    <row r="134" spans="2:17" x14ac:dyDescent="0.25">
      <c r="B134" s="15" t="s">
        <v>186</v>
      </c>
      <c r="C134" s="38" t="s">
        <v>187</v>
      </c>
      <c r="D134" s="64">
        <f>0.07523*((D131*(D132+273)*D133)^0.5)</f>
        <v>4.9873575163106167</v>
      </c>
      <c r="E134" s="40" t="s">
        <v>43</v>
      </c>
      <c r="I134" s="15" t="s">
        <v>305</v>
      </c>
      <c r="M134" s="19">
        <f>M133-M132</f>
        <v>63.055279718573502</v>
      </c>
      <c r="N134" s="15" t="s">
        <v>10</v>
      </c>
      <c r="O134" s="22">
        <f>M134*100/((M132+M133)/2)</f>
        <v>11.196390894533382</v>
      </c>
      <c r="P134" s="15" t="s">
        <v>36</v>
      </c>
    </row>
    <row r="135" spans="2:17" s="58" customFormat="1" x14ac:dyDescent="0.25">
      <c r="B135" s="54"/>
      <c r="C135" s="55"/>
      <c r="D135" s="56"/>
      <c r="E135" s="54"/>
      <c r="F135" s="54"/>
      <c r="G135" s="54"/>
      <c r="H135" s="54"/>
      <c r="I135" s="54"/>
      <c r="J135" s="55"/>
      <c r="K135" s="57"/>
      <c r="L135" s="54"/>
      <c r="M135" s="54"/>
      <c r="N135" s="54"/>
      <c r="O135" s="54"/>
    </row>
    <row r="137" spans="2:17" x14ac:dyDescent="0.25">
      <c r="B137" s="59" t="s">
        <v>188</v>
      </c>
    </row>
    <row r="139" spans="2:17" x14ac:dyDescent="0.25">
      <c r="B139" s="65">
        <f>SUM(C139:Q139)</f>
        <v>8</v>
      </c>
      <c r="C139" s="66">
        <f>IF(C141&lt;&gt;0,1,0)</f>
        <v>1</v>
      </c>
      <c r="D139" s="66">
        <f t="shared" ref="D139:Q139" si="4">IF(D141&lt;&gt;0,1,0)</f>
        <v>1</v>
      </c>
      <c r="E139" s="66">
        <f t="shared" si="4"/>
        <v>1</v>
      </c>
      <c r="F139" s="66">
        <f t="shared" si="4"/>
        <v>1</v>
      </c>
      <c r="G139" s="66">
        <f t="shared" si="4"/>
        <v>1</v>
      </c>
      <c r="H139" s="66">
        <f t="shared" si="4"/>
        <v>1</v>
      </c>
      <c r="I139" s="66">
        <f t="shared" si="4"/>
        <v>1</v>
      </c>
      <c r="J139" s="66">
        <f t="shared" si="4"/>
        <v>1</v>
      </c>
      <c r="K139" s="66">
        <f t="shared" si="4"/>
        <v>0</v>
      </c>
      <c r="L139" s="66">
        <f t="shared" si="4"/>
        <v>0</v>
      </c>
      <c r="M139" s="66">
        <f t="shared" si="4"/>
        <v>0</v>
      </c>
      <c r="N139" s="66">
        <f t="shared" si="4"/>
        <v>0</v>
      </c>
      <c r="O139" s="66">
        <f t="shared" si="4"/>
        <v>0</v>
      </c>
      <c r="P139" s="66">
        <f t="shared" si="4"/>
        <v>0</v>
      </c>
      <c r="Q139" s="66">
        <f t="shared" si="4"/>
        <v>0</v>
      </c>
    </row>
    <row r="140" spans="2:17" x14ac:dyDescent="0.25">
      <c r="B140" s="67" t="s">
        <v>189</v>
      </c>
      <c r="C140" s="68">
        <v>1</v>
      </c>
      <c r="D140" s="68">
        <v>2</v>
      </c>
      <c r="E140" s="68">
        <v>3</v>
      </c>
      <c r="F140" s="68">
        <v>4</v>
      </c>
      <c r="G140" s="68">
        <v>5</v>
      </c>
      <c r="H140" s="68">
        <v>6</v>
      </c>
      <c r="I140" s="68">
        <v>7</v>
      </c>
      <c r="J140" s="68">
        <v>8</v>
      </c>
      <c r="K140" s="68">
        <v>9</v>
      </c>
      <c r="L140" s="68">
        <v>10</v>
      </c>
      <c r="M140" s="68">
        <v>11</v>
      </c>
      <c r="N140" s="68">
        <v>12</v>
      </c>
      <c r="O140" s="68">
        <v>13</v>
      </c>
      <c r="P140" s="68">
        <v>14</v>
      </c>
      <c r="Q140" s="68">
        <v>15</v>
      </c>
    </row>
    <row r="141" spans="2:17" ht="24" customHeight="1" x14ac:dyDescent="0.25">
      <c r="B141" s="69" t="s">
        <v>190</v>
      </c>
      <c r="C141" s="70">
        <v>9.1199999999999992</v>
      </c>
      <c r="D141" s="70">
        <v>10.68</v>
      </c>
      <c r="E141" s="70">
        <v>13.57</v>
      </c>
      <c r="F141" s="70">
        <v>13.38</v>
      </c>
      <c r="G141" s="70">
        <v>13.6</v>
      </c>
      <c r="H141" s="70">
        <v>13.66</v>
      </c>
      <c r="I141" s="70">
        <v>15.37</v>
      </c>
      <c r="J141" s="70">
        <v>13.9</v>
      </c>
      <c r="K141" s="70"/>
      <c r="L141" s="70"/>
      <c r="M141" s="70"/>
      <c r="N141" s="70"/>
      <c r="O141" s="70"/>
      <c r="P141" s="70"/>
      <c r="Q141" s="70"/>
    </row>
    <row r="142" spans="2:17" x14ac:dyDescent="0.25">
      <c r="B142" s="65">
        <f>SUM(C142:Q142)</f>
        <v>28.662068063371489</v>
      </c>
      <c r="C142" s="71">
        <f>C141^0.5</f>
        <v>3.0199337741082997</v>
      </c>
      <c r="D142" s="71">
        <f t="shared" ref="D142:Q142" si="5">D141^0.5</f>
        <v>3.2680269276736382</v>
      </c>
      <c r="E142" s="71">
        <f t="shared" si="5"/>
        <v>3.6837480912787726</v>
      </c>
      <c r="F142" s="71">
        <f t="shared" si="5"/>
        <v>3.6578682316343767</v>
      </c>
      <c r="G142" s="71">
        <f t="shared" si="5"/>
        <v>3.687817782917155</v>
      </c>
      <c r="H142" s="71">
        <f t="shared" si="5"/>
        <v>3.6959437225152656</v>
      </c>
      <c r="I142" s="71">
        <f t="shared" si="5"/>
        <v>3.9204591567825315</v>
      </c>
      <c r="J142" s="71">
        <f t="shared" si="5"/>
        <v>3.7282703764614498</v>
      </c>
      <c r="K142" s="71">
        <f t="shared" si="5"/>
        <v>0</v>
      </c>
      <c r="L142" s="71">
        <f t="shared" si="5"/>
        <v>0</v>
      </c>
      <c r="M142" s="71">
        <f t="shared" si="5"/>
        <v>0</v>
      </c>
      <c r="N142" s="71">
        <f t="shared" si="5"/>
        <v>0</v>
      </c>
      <c r="O142" s="71">
        <f t="shared" si="5"/>
        <v>0</v>
      </c>
      <c r="P142" s="71">
        <f t="shared" si="5"/>
        <v>0</v>
      </c>
      <c r="Q142" s="71">
        <f t="shared" si="5"/>
        <v>0</v>
      </c>
    </row>
    <row r="143" spans="2:17" x14ac:dyDescent="0.25">
      <c r="B143" s="65">
        <f>SUM(C143:Q143)</f>
        <v>28.063800000000004</v>
      </c>
      <c r="C143" s="71">
        <f>IF(C141=0,0,($D$146-C141)^2)</f>
        <v>14.36410000000002</v>
      </c>
      <c r="D143" s="71">
        <f t="shared" ref="D143:Q143" si="6">IF(D141=0,0,($D$146-D141)^2)</f>
        <v>4.9729000000000099</v>
      </c>
      <c r="E143" s="71">
        <f t="shared" si="6"/>
        <v>0.43559999999999782</v>
      </c>
      <c r="F143" s="71">
        <f t="shared" si="6"/>
        <v>0.22089999999999893</v>
      </c>
      <c r="G143" s="71">
        <f t="shared" si="6"/>
        <v>0.47609999999999686</v>
      </c>
      <c r="H143" s="71">
        <f t="shared" si="6"/>
        <v>0.56249999999999734</v>
      </c>
      <c r="I143" s="71">
        <f t="shared" si="6"/>
        <v>6.0515999999999863</v>
      </c>
      <c r="J143" s="71">
        <f t="shared" si="6"/>
        <v>0.98009999999999686</v>
      </c>
      <c r="K143" s="71">
        <f t="shared" si="6"/>
        <v>0</v>
      </c>
      <c r="L143" s="71">
        <f t="shared" si="6"/>
        <v>0</v>
      </c>
      <c r="M143" s="71">
        <f t="shared" si="6"/>
        <v>0</v>
      </c>
      <c r="N143" s="71">
        <f>IF(N141=0,0,($D$146-N141)^2)</f>
        <v>0</v>
      </c>
      <c r="O143" s="71">
        <f t="shared" si="6"/>
        <v>0</v>
      </c>
      <c r="P143" s="71">
        <f t="shared" si="6"/>
        <v>0</v>
      </c>
      <c r="Q143" s="71">
        <f t="shared" si="6"/>
        <v>0</v>
      </c>
    </row>
    <row r="144" spans="2:17" x14ac:dyDescent="0.25">
      <c r="B144" s="65">
        <f>(SUM(C144:Q144))^0.5</f>
        <v>36.897270901788929</v>
      </c>
      <c r="C144" s="124">
        <f>C141^2</f>
        <v>83.174399999999991</v>
      </c>
      <c r="D144" s="124">
        <f t="shared" ref="D144:Q144" si="7">D141^2</f>
        <v>114.0624</v>
      </c>
      <c r="E144" s="124">
        <f t="shared" si="7"/>
        <v>184.14490000000001</v>
      </c>
      <c r="F144" s="124">
        <f t="shared" si="7"/>
        <v>179.02440000000001</v>
      </c>
      <c r="G144" s="124">
        <f t="shared" si="7"/>
        <v>184.95999999999998</v>
      </c>
      <c r="H144" s="124">
        <f t="shared" si="7"/>
        <v>186.59559999999999</v>
      </c>
      <c r="I144" s="124">
        <f t="shared" si="7"/>
        <v>236.23689999999996</v>
      </c>
      <c r="J144" s="124">
        <f t="shared" si="7"/>
        <v>193.21</v>
      </c>
      <c r="K144" s="124">
        <f t="shared" si="7"/>
        <v>0</v>
      </c>
      <c r="L144" s="124">
        <f t="shared" si="7"/>
        <v>0</v>
      </c>
      <c r="M144" s="124">
        <f t="shared" si="7"/>
        <v>0</v>
      </c>
      <c r="N144" s="124">
        <f t="shared" si="7"/>
        <v>0</v>
      </c>
      <c r="O144" s="124">
        <f t="shared" si="7"/>
        <v>0</v>
      </c>
      <c r="P144" s="124">
        <f t="shared" si="7"/>
        <v>0</v>
      </c>
      <c r="Q144" s="124">
        <f t="shared" si="7"/>
        <v>0</v>
      </c>
    </row>
    <row r="145" spans="2:17" x14ac:dyDescent="0.25">
      <c r="B145" s="65"/>
      <c r="C145" s="124"/>
      <c r="D145" s="124"/>
      <c r="E145" s="124"/>
      <c r="F145" s="124"/>
      <c r="G145" s="124"/>
      <c r="H145" s="124"/>
      <c r="I145" s="124"/>
      <c r="J145" s="124"/>
      <c r="K145" s="71"/>
      <c r="L145" s="71"/>
      <c r="M145" s="71"/>
      <c r="N145" s="71"/>
      <c r="O145" s="71"/>
      <c r="P145" s="71"/>
      <c r="Q145" s="71"/>
    </row>
    <row r="146" spans="2:17" x14ac:dyDescent="0.25">
      <c r="B146" s="15" t="s">
        <v>191</v>
      </c>
      <c r="C146" s="38" t="s">
        <v>192</v>
      </c>
      <c r="D146" s="39">
        <f>SUM(C141:Q141)/B139</f>
        <v>12.910000000000002</v>
      </c>
      <c r="E146" s="40" t="s">
        <v>6</v>
      </c>
      <c r="F146" s="15" t="s">
        <v>298</v>
      </c>
      <c r="I146" s="22">
        <f>MIN(C141:Q141)</f>
        <v>9.1199999999999992</v>
      </c>
    </row>
    <row r="147" spans="2:17" x14ac:dyDescent="0.25">
      <c r="B147" s="15" t="s">
        <v>193</v>
      </c>
      <c r="C147" s="38" t="s">
        <v>194</v>
      </c>
      <c r="D147" s="39">
        <f>(B142/B139)^2</f>
        <v>12.836158526083436</v>
      </c>
      <c r="E147" s="40" t="s">
        <v>6</v>
      </c>
      <c r="F147" s="15" t="s">
        <v>299</v>
      </c>
      <c r="I147" s="22">
        <f>MAX(C141:Q141)</f>
        <v>15.37</v>
      </c>
    </row>
    <row r="148" spans="2:17" x14ac:dyDescent="0.25">
      <c r="B148" s="15" t="s">
        <v>195</v>
      </c>
      <c r="C148" s="47" t="s">
        <v>196</v>
      </c>
      <c r="D148" s="72">
        <v>2.3650000000000002</v>
      </c>
      <c r="E148" s="15" t="s">
        <v>6</v>
      </c>
      <c r="F148" s="15" t="s">
        <v>301</v>
      </c>
      <c r="I148" s="22">
        <f>B144</f>
        <v>36.897270901788929</v>
      </c>
      <c r="J148" s="15" t="s">
        <v>36</v>
      </c>
    </row>
    <row r="149" spans="2:17" x14ac:dyDescent="0.25">
      <c r="B149" s="15" t="s">
        <v>197</v>
      </c>
      <c r="C149" s="38" t="s">
        <v>314</v>
      </c>
      <c r="D149" s="39">
        <f>D148*SQRT(B143/(B139*(B139-1)))</f>
        <v>1.6742116895241435</v>
      </c>
      <c r="E149" s="40" t="s">
        <v>6</v>
      </c>
      <c r="F149" s="15" t="s">
        <v>300</v>
      </c>
      <c r="I149" s="62">
        <f>COUNT(C141:Q141)</f>
        <v>8</v>
      </c>
    </row>
    <row r="150" spans="2:17" x14ac:dyDescent="0.25">
      <c r="B150" s="15" t="s">
        <v>198</v>
      </c>
      <c r="C150" s="38" t="s">
        <v>199</v>
      </c>
      <c r="D150" s="39">
        <f>(D149/D146)*100</f>
        <v>12.968332219396927</v>
      </c>
      <c r="E150" s="40" t="s">
        <v>36</v>
      </c>
      <c r="F150" s="15" t="s">
        <v>302</v>
      </c>
      <c r="I150" s="22">
        <f>2.314*I148*I149^-0.552-0.895*I148*I149^-0.698+13.725*I149^-0.778</f>
        <v>22.079801511592482</v>
      </c>
      <c r="J150" s="15" t="s">
        <v>304</v>
      </c>
    </row>
    <row r="151" spans="2:17" s="58" customFormat="1" x14ac:dyDescent="0.25">
      <c r="B151" s="54"/>
      <c r="C151" s="55"/>
      <c r="D151" s="56"/>
      <c r="E151" s="54"/>
      <c r="F151" s="54"/>
      <c r="G151" s="54"/>
      <c r="H151" s="54"/>
      <c r="I151" s="54"/>
      <c r="J151" s="55"/>
      <c r="K151" s="57"/>
      <c r="L151" s="54"/>
      <c r="M151" s="54"/>
      <c r="N151" s="54"/>
      <c r="O151" s="54"/>
    </row>
    <row r="152" spans="2:17" x14ac:dyDescent="0.25">
      <c r="C152" s="38"/>
      <c r="D152" s="64"/>
      <c r="E152" s="40"/>
    </row>
    <row r="153" spans="2:17" x14ac:dyDescent="0.25">
      <c r="B153" s="73" t="s">
        <v>200</v>
      </c>
      <c r="M153" s="47"/>
    </row>
    <row r="154" spans="2:17" x14ac:dyDescent="0.25">
      <c r="B154" s="73"/>
      <c r="M154" s="47"/>
    </row>
    <row r="155" spans="2:17" x14ac:dyDescent="0.25">
      <c r="B155" s="74" t="s">
        <v>201</v>
      </c>
      <c r="M155" s="47"/>
    </row>
    <row r="156" spans="2:17" x14ac:dyDescent="0.25">
      <c r="B156" s="15" t="s">
        <v>202</v>
      </c>
      <c r="C156" s="47" t="s">
        <v>203</v>
      </c>
      <c r="D156" s="61">
        <v>2000</v>
      </c>
      <c r="E156" s="15" t="s">
        <v>204</v>
      </c>
      <c r="G156" s="15" t="s">
        <v>202</v>
      </c>
      <c r="H156" s="47" t="s">
        <v>203</v>
      </c>
      <c r="I156" s="61">
        <v>2000</v>
      </c>
      <c r="J156" s="15" t="s">
        <v>204</v>
      </c>
    </row>
    <row r="157" spans="2:17" x14ac:dyDescent="0.25">
      <c r="B157" s="15" t="s">
        <v>205</v>
      </c>
      <c r="C157" s="47" t="s">
        <v>206</v>
      </c>
      <c r="D157" s="61">
        <v>5000</v>
      </c>
      <c r="E157" s="15" t="s">
        <v>10</v>
      </c>
      <c r="G157" s="15" t="s">
        <v>205</v>
      </c>
      <c r="H157" s="47" t="s">
        <v>206</v>
      </c>
      <c r="I157" s="61">
        <v>1000</v>
      </c>
      <c r="J157" s="15" t="s">
        <v>10</v>
      </c>
      <c r="M157" s="47"/>
    </row>
    <row r="158" spans="2:17" x14ac:dyDescent="0.25">
      <c r="B158" s="15" t="s">
        <v>207</v>
      </c>
      <c r="C158" s="47" t="s">
        <v>208</v>
      </c>
      <c r="D158" s="61">
        <v>2500</v>
      </c>
      <c r="E158" s="15" t="s">
        <v>10</v>
      </c>
      <c r="G158" s="15" t="s">
        <v>209</v>
      </c>
      <c r="H158" s="47" t="s">
        <v>210</v>
      </c>
      <c r="I158" s="61">
        <v>1000</v>
      </c>
      <c r="J158" s="15" t="s">
        <v>204</v>
      </c>
    </row>
    <row r="159" spans="2:17" x14ac:dyDescent="0.25">
      <c r="B159" s="15" t="s">
        <v>211</v>
      </c>
      <c r="C159" s="75" t="s">
        <v>210</v>
      </c>
      <c r="D159" s="44">
        <f>D158*D156/D157</f>
        <v>1000</v>
      </c>
      <c r="E159" s="26" t="s">
        <v>204</v>
      </c>
      <c r="G159" s="15" t="s">
        <v>207</v>
      </c>
      <c r="H159" s="75" t="s">
        <v>208</v>
      </c>
      <c r="I159" s="44">
        <f>I157*I158/I156</f>
        <v>500</v>
      </c>
      <c r="J159" s="26" t="s">
        <v>10</v>
      </c>
    </row>
    <row r="160" spans="2:17" x14ac:dyDescent="0.25">
      <c r="C160" s="75"/>
      <c r="D160" s="44"/>
      <c r="E160" s="26"/>
      <c r="H160" s="75"/>
      <c r="I160" s="44"/>
      <c r="J160" s="26"/>
    </row>
    <row r="161" spans="2:10" x14ac:dyDescent="0.25">
      <c r="B161" s="74" t="s">
        <v>212</v>
      </c>
      <c r="C161" s="47"/>
      <c r="D161" s="31"/>
    </row>
    <row r="162" spans="2:10" x14ac:dyDescent="0.25">
      <c r="B162" s="15" t="s">
        <v>202</v>
      </c>
      <c r="C162" s="47" t="s">
        <v>203</v>
      </c>
      <c r="D162" s="61">
        <v>2000</v>
      </c>
      <c r="E162" s="15" t="s">
        <v>213</v>
      </c>
      <c r="G162" s="15" t="s">
        <v>202</v>
      </c>
      <c r="H162" s="47" t="s">
        <v>203</v>
      </c>
      <c r="I162" s="61">
        <v>3800</v>
      </c>
      <c r="J162" s="15" t="s">
        <v>213</v>
      </c>
    </row>
    <row r="163" spans="2:10" x14ac:dyDescent="0.25">
      <c r="B163" s="15" t="s">
        <v>214</v>
      </c>
      <c r="C163" s="47" t="s">
        <v>215</v>
      </c>
      <c r="D163" s="61">
        <v>500</v>
      </c>
      <c r="E163" s="15" t="s">
        <v>6</v>
      </c>
      <c r="G163" s="15" t="s">
        <v>211</v>
      </c>
      <c r="H163" s="76" t="s">
        <v>216</v>
      </c>
      <c r="I163" s="61">
        <v>4900</v>
      </c>
      <c r="J163" s="15" t="s">
        <v>213</v>
      </c>
    </row>
    <row r="164" spans="2:10" x14ac:dyDescent="0.25">
      <c r="B164" s="15" t="s">
        <v>217</v>
      </c>
      <c r="C164" s="47" t="s">
        <v>218</v>
      </c>
      <c r="D164" s="61">
        <v>250</v>
      </c>
      <c r="E164" s="15" t="s">
        <v>6</v>
      </c>
      <c r="G164" s="15" t="s">
        <v>214</v>
      </c>
      <c r="H164" s="47" t="s">
        <v>215</v>
      </c>
      <c r="I164" s="61">
        <v>250</v>
      </c>
      <c r="J164" s="15" t="s">
        <v>6</v>
      </c>
    </row>
    <row r="165" spans="2:10" x14ac:dyDescent="0.25">
      <c r="B165" s="15" t="s">
        <v>211</v>
      </c>
      <c r="C165" s="75" t="s">
        <v>216</v>
      </c>
      <c r="D165" s="50">
        <f>((D163*(D162)^2)/D164)^(0.5)</f>
        <v>2828.4271247461902</v>
      </c>
      <c r="E165" s="26" t="s">
        <v>213</v>
      </c>
      <c r="G165" s="15" t="s">
        <v>217</v>
      </c>
      <c r="H165" s="75" t="s">
        <v>218</v>
      </c>
      <c r="I165" s="44">
        <f>I164*I163^2/I162^2</f>
        <v>415.68559556786704</v>
      </c>
      <c r="J165" s="26" t="s">
        <v>6</v>
      </c>
    </row>
    <row r="167" spans="2:10" x14ac:dyDescent="0.25">
      <c r="B167" s="74" t="s">
        <v>219</v>
      </c>
    </row>
    <row r="168" spans="2:10" x14ac:dyDescent="0.25">
      <c r="B168" s="15" t="s">
        <v>220</v>
      </c>
      <c r="C168" s="47" t="s">
        <v>203</v>
      </c>
      <c r="D168" s="61">
        <v>10000</v>
      </c>
      <c r="E168" s="15" t="s">
        <v>213</v>
      </c>
      <c r="G168" s="15" t="s">
        <v>202</v>
      </c>
      <c r="H168" s="47" t="s">
        <v>203</v>
      </c>
      <c r="I168" s="61">
        <v>2563</v>
      </c>
      <c r="J168" s="15" t="s">
        <v>213</v>
      </c>
    </row>
    <row r="169" spans="2:10" x14ac:dyDescent="0.25">
      <c r="B169" s="15" t="s">
        <v>221</v>
      </c>
      <c r="C169" s="47" t="s">
        <v>222</v>
      </c>
      <c r="D169" s="77">
        <v>2</v>
      </c>
      <c r="E169" s="15" t="s">
        <v>223</v>
      </c>
      <c r="G169" s="15" t="s">
        <v>211</v>
      </c>
      <c r="H169" s="76" t="s">
        <v>216</v>
      </c>
      <c r="I169" s="61">
        <v>2340</v>
      </c>
      <c r="J169" s="15" t="s">
        <v>213</v>
      </c>
    </row>
    <row r="170" spans="2:10" x14ac:dyDescent="0.25">
      <c r="B170" s="15" t="s">
        <v>221</v>
      </c>
      <c r="C170" s="47" t="s">
        <v>224</v>
      </c>
      <c r="D170" s="77">
        <v>1</v>
      </c>
      <c r="E170" s="15" t="s">
        <v>223</v>
      </c>
      <c r="G170" s="15" t="s">
        <v>225</v>
      </c>
      <c r="H170" s="47" t="s">
        <v>222</v>
      </c>
      <c r="I170" s="77">
        <v>8.9</v>
      </c>
      <c r="J170" s="15" t="s">
        <v>223</v>
      </c>
    </row>
    <row r="171" spans="2:10" x14ac:dyDescent="0.25">
      <c r="B171" s="15" t="s">
        <v>226</v>
      </c>
      <c r="C171" s="75" t="s">
        <v>216</v>
      </c>
      <c r="D171" s="50">
        <f>((D170*(D168)^3)/D169)^(1/3)</f>
        <v>7937.0052598409993</v>
      </c>
      <c r="E171" s="26" t="s">
        <v>213</v>
      </c>
      <c r="G171" s="15" t="s">
        <v>227</v>
      </c>
      <c r="H171" s="75" t="s">
        <v>224</v>
      </c>
      <c r="I171" s="64">
        <f>I170*I169^3/I168^3</f>
        <v>6.7731666345679749</v>
      </c>
      <c r="J171" s="26" t="s">
        <v>223</v>
      </c>
    </row>
    <row r="172" spans="2:10" x14ac:dyDescent="0.25">
      <c r="C172" s="75"/>
      <c r="D172" s="50">
        <f>((D170^3)*(D168^3)/D169^3)^(1/3)</f>
        <v>4999.9999999999955</v>
      </c>
      <c r="E172" s="26"/>
      <c r="H172" s="47"/>
      <c r="I172" s="64"/>
      <c r="J172" s="26"/>
    </row>
    <row r="173" spans="2:10" x14ac:dyDescent="0.25">
      <c r="B173" s="74" t="s">
        <v>228</v>
      </c>
      <c r="C173" s="75"/>
      <c r="D173" s="50"/>
      <c r="E173" s="26"/>
      <c r="H173" s="47"/>
      <c r="I173" s="64"/>
      <c r="J173" s="26"/>
    </row>
    <row r="174" spans="2:10" x14ac:dyDescent="0.25">
      <c r="B174" s="15" t="s">
        <v>229</v>
      </c>
      <c r="C174" s="47" t="s">
        <v>215</v>
      </c>
      <c r="D174" s="61">
        <v>250</v>
      </c>
      <c r="E174" s="15" t="s">
        <v>6</v>
      </c>
      <c r="H174" s="47"/>
      <c r="I174" s="61"/>
    </row>
    <row r="175" spans="2:10" x14ac:dyDescent="0.25">
      <c r="B175" s="15" t="s">
        <v>230</v>
      </c>
      <c r="C175" s="47" t="s">
        <v>218</v>
      </c>
      <c r="D175" s="61">
        <v>311</v>
      </c>
      <c r="E175" s="15" t="s">
        <v>6</v>
      </c>
      <c r="H175" s="47"/>
      <c r="I175" s="61"/>
    </row>
    <row r="176" spans="2:10" x14ac:dyDescent="0.25">
      <c r="B176" s="15" t="s">
        <v>231</v>
      </c>
      <c r="C176" s="75"/>
      <c r="D176" s="50">
        <f>(D175/D174)^2*100/1</f>
        <v>154.75360000000001</v>
      </c>
      <c r="E176" s="26" t="s">
        <v>36</v>
      </c>
      <c r="H176" s="75"/>
      <c r="I176" s="50"/>
      <c r="J176" s="26"/>
    </row>
    <row r="177" spans="2:15" s="58" customFormat="1" x14ac:dyDescent="0.25">
      <c r="B177" s="54"/>
      <c r="C177" s="55"/>
      <c r="D177" s="56"/>
      <c r="E177" s="54"/>
      <c r="F177" s="54"/>
      <c r="G177" s="54"/>
      <c r="H177" s="54"/>
      <c r="I177" s="54"/>
      <c r="J177" s="55"/>
      <c r="K177" s="57"/>
      <c r="L177" s="54"/>
      <c r="M177" s="54"/>
      <c r="N177" s="54"/>
      <c r="O177" s="54"/>
    </row>
    <row r="179" spans="2:15" x14ac:dyDescent="0.25">
      <c r="B179" s="73" t="s">
        <v>232</v>
      </c>
    </row>
    <row r="181" spans="2:15" x14ac:dyDescent="0.25">
      <c r="B181" s="15" t="s">
        <v>233</v>
      </c>
      <c r="C181" s="47" t="s">
        <v>234</v>
      </c>
      <c r="D181" s="61">
        <v>200</v>
      </c>
      <c r="E181" s="15" t="s">
        <v>160</v>
      </c>
      <c r="F181" s="47"/>
      <c r="G181" s="15" t="s">
        <v>235</v>
      </c>
      <c r="I181" s="47" t="s">
        <v>236</v>
      </c>
      <c r="J181" s="61">
        <v>737</v>
      </c>
      <c r="K181" s="15" t="s">
        <v>160</v>
      </c>
      <c r="N181" s="47"/>
      <c r="O181" s="61"/>
    </row>
    <row r="182" spans="2:15" x14ac:dyDescent="0.25">
      <c r="B182" s="15" t="s">
        <v>237</v>
      </c>
      <c r="C182" s="47" t="s">
        <v>238</v>
      </c>
      <c r="D182" s="61">
        <v>2000</v>
      </c>
      <c r="E182" s="15" t="s">
        <v>239</v>
      </c>
      <c r="G182" s="15" t="s">
        <v>318</v>
      </c>
      <c r="I182" s="47" t="s">
        <v>240</v>
      </c>
      <c r="J182" s="61">
        <v>109</v>
      </c>
      <c r="K182" s="15" t="s">
        <v>160</v>
      </c>
      <c r="L182" s="26"/>
      <c r="N182" s="47"/>
      <c r="O182" s="61"/>
    </row>
    <row r="183" spans="2:15" x14ac:dyDescent="0.25">
      <c r="B183" s="15" t="s">
        <v>241</v>
      </c>
      <c r="C183" s="47" t="s">
        <v>242</v>
      </c>
      <c r="D183" s="61">
        <v>1000</v>
      </c>
      <c r="E183" s="15" t="s">
        <v>239</v>
      </c>
      <c r="F183" s="75"/>
      <c r="G183" s="15" t="s">
        <v>233</v>
      </c>
      <c r="I183" s="47" t="s">
        <v>234</v>
      </c>
      <c r="J183" s="61">
        <v>358</v>
      </c>
      <c r="K183" s="15" t="s">
        <v>160</v>
      </c>
      <c r="L183" s="26"/>
      <c r="N183" s="47"/>
      <c r="O183" s="61"/>
    </row>
    <row r="184" spans="2:15" x14ac:dyDescent="0.25">
      <c r="C184" s="47"/>
      <c r="D184" s="61"/>
      <c r="K184" s="43"/>
      <c r="L184" s="26"/>
      <c r="N184" s="47"/>
      <c r="O184" s="61"/>
    </row>
    <row r="185" spans="2:15" x14ac:dyDescent="0.25">
      <c r="B185" s="15" t="s">
        <v>243</v>
      </c>
      <c r="C185" s="75" t="s">
        <v>240</v>
      </c>
      <c r="D185" s="50">
        <f>D181*D182/D183</f>
        <v>400</v>
      </c>
      <c r="E185" s="26" t="s">
        <v>160</v>
      </c>
      <c r="F185" s="75"/>
      <c r="G185" s="15" t="s">
        <v>244</v>
      </c>
      <c r="I185" s="75" t="s">
        <v>245</v>
      </c>
      <c r="J185" s="44">
        <f>2*J181+1.57*(J183+J182)+(((J183+J182)^2)/(4*J181))</f>
        <v>2281.1686295793761</v>
      </c>
      <c r="K185" s="26" t="s">
        <v>160</v>
      </c>
      <c r="L185" s="26"/>
      <c r="N185" s="47"/>
      <c r="O185" s="61"/>
    </row>
    <row r="186" spans="2:15" s="58" customFormat="1" x14ac:dyDescent="0.25">
      <c r="B186" s="54"/>
      <c r="C186" s="55"/>
      <c r="D186" s="56"/>
      <c r="E186" s="54"/>
      <c r="F186" s="54"/>
      <c r="G186" s="54"/>
      <c r="H186" s="54"/>
      <c r="I186" s="54"/>
      <c r="J186" s="55"/>
      <c r="K186" s="57"/>
      <c r="L186" s="54"/>
      <c r="M186" s="54"/>
      <c r="N186" s="54"/>
      <c r="O186" s="54"/>
    </row>
    <row r="188" spans="2:15" x14ac:dyDescent="0.25">
      <c r="B188" s="59" t="s">
        <v>246</v>
      </c>
    </row>
    <row r="190" spans="2:15" x14ac:dyDescent="0.25">
      <c r="B190" s="15" t="s">
        <v>166</v>
      </c>
      <c r="C190" s="47" t="s">
        <v>5</v>
      </c>
      <c r="D190" s="61">
        <v>100</v>
      </c>
      <c r="E190" s="15" t="s">
        <v>6</v>
      </c>
      <c r="F190" s="47" t="s">
        <v>7</v>
      </c>
      <c r="G190" s="77">
        <v>285</v>
      </c>
      <c r="J190" s="47"/>
      <c r="K190" s="50"/>
    </row>
    <row r="191" spans="2:15" x14ac:dyDescent="0.25">
      <c r="B191" s="15" t="s">
        <v>247</v>
      </c>
      <c r="C191" s="47" t="s">
        <v>7</v>
      </c>
      <c r="D191" s="77">
        <v>285</v>
      </c>
      <c r="F191" s="76" t="s">
        <v>8</v>
      </c>
      <c r="G191" s="61">
        <v>3000</v>
      </c>
      <c r="H191" s="20" t="s">
        <v>10</v>
      </c>
      <c r="J191" s="47"/>
      <c r="K191" s="77"/>
    </row>
    <row r="192" spans="2:15" x14ac:dyDescent="0.25">
      <c r="B192" s="15" t="s">
        <v>0</v>
      </c>
      <c r="C192" s="75" t="s">
        <v>8</v>
      </c>
      <c r="D192" s="50">
        <f>D191*D190^0.5</f>
        <v>2850</v>
      </c>
      <c r="E192" s="26" t="s">
        <v>9</v>
      </c>
      <c r="I192" s="26"/>
      <c r="J192" s="75"/>
      <c r="K192" s="50"/>
      <c r="L192" s="26"/>
    </row>
    <row r="193" spans="2:15" x14ac:dyDescent="0.25">
      <c r="B193" s="15" t="s">
        <v>0</v>
      </c>
      <c r="C193" s="75" t="s">
        <v>8</v>
      </c>
      <c r="D193" s="50">
        <f>3.6*D191*(D190^0.5)</f>
        <v>10260</v>
      </c>
      <c r="E193" s="26" t="s">
        <v>10</v>
      </c>
      <c r="F193" s="75" t="s">
        <v>5</v>
      </c>
      <c r="G193" s="50">
        <f>(G191/(G190))^2</f>
        <v>110.80332409972301</v>
      </c>
      <c r="H193" s="78" t="s">
        <v>6</v>
      </c>
      <c r="I193" s="26"/>
      <c r="J193" s="75"/>
      <c r="K193" s="61"/>
      <c r="L193" s="26"/>
    </row>
    <row r="194" spans="2:15" x14ac:dyDescent="0.25">
      <c r="B194" s="15" t="s">
        <v>0</v>
      </c>
      <c r="I194" s="26"/>
      <c r="J194" s="75"/>
      <c r="K194" s="43"/>
      <c r="L194" s="26"/>
    </row>
    <row r="195" spans="2:15" s="58" customFormat="1" x14ac:dyDescent="0.25">
      <c r="B195" s="54"/>
      <c r="C195" s="55"/>
      <c r="D195" s="56"/>
      <c r="E195" s="54"/>
      <c r="F195" s="54"/>
      <c r="G195" s="54"/>
      <c r="H195" s="54"/>
      <c r="I195" s="54"/>
      <c r="J195" s="55"/>
      <c r="K195" s="57"/>
      <c r="L195" s="54"/>
      <c r="M195" s="54"/>
      <c r="N195" s="54"/>
      <c r="O195" s="54"/>
    </row>
    <row r="196" spans="2:15" x14ac:dyDescent="0.25">
      <c r="B196" s="73"/>
    </row>
    <row r="197" spans="2:15" x14ac:dyDescent="0.25">
      <c r="B197" s="73" t="s">
        <v>248</v>
      </c>
    </row>
    <row r="198" spans="2:15" x14ac:dyDescent="0.25">
      <c r="F198" s="47"/>
      <c r="G198" s="61"/>
      <c r="I198" s="47"/>
      <c r="J198" s="50"/>
      <c r="M198" s="47"/>
      <c r="N198" s="50"/>
    </row>
    <row r="199" spans="2:15" x14ac:dyDescent="0.25">
      <c r="B199" s="15" t="s">
        <v>249</v>
      </c>
      <c r="C199" s="47" t="s">
        <v>10</v>
      </c>
      <c r="D199" s="61">
        <v>1000</v>
      </c>
      <c r="F199" s="47"/>
      <c r="G199" s="77"/>
      <c r="I199" s="47"/>
      <c r="J199" s="77"/>
      <c r="M199" s="47"/>
      <c r="N199" s="77"/>
    </row>
    <row r="200" spans="2:15" x14ac:dyDescent="0.25">
      <c r="B200" s="15" t="s">
        <v>250</v>
      </c>
      <c r="C200" s="47" t="s">
        <v>60</v>
      </c>
      <c r="D200" s="77">
        <v>1.3</v>
      </c>
      <c r="F200" s="75"/>
      <c r="G200" s="50"/>
      <c r="H200" s="26"/>
      <c r="I200" s="75"/>
      <c r="J200" s="50"/>
      <c r="K200" s="26"/>
      <c r="L200" s="26"/>
      <c r="M200" s="75"/>
      <c r="N200" s="50"/>
      <c r="O200" s="26"/>
    </row>
    <row r="201" spans="2:15" x14ac:dyDescent="0.25">
      <c r="B201" s="15" t="s">
        <v>251</v>
      </c>
      <c r="C201" s="47" t="s">
        <v>10</v>
      </c>
      <c r="D201" s="50">
        <f>D199*(1.2/D200)^0.5</f>
        <v>960.76892283052268</v>
      </c>
      <c r="L201" s="26"/>
      <c r="M201" s="75"/>
      <c r="N201" s="43"/>
      <c r="O201" s="26"/>
    </row>
    <row r="202" spans="2:15" s="58" customFormat="1" x14ac:dyDescent="0.25">
      <c r="B202" s="54"/>
      <c r="C202" s="55"/>
      <c r="D202" s="56"/>
      <c r="E202" s="54"/>
      <c r="F202" s="54"/>
      <c r="G202" s="54"/>
      <c r="H202" s="54"/>
      <c r="I202" s="54"/>
      <c r="J202" s="55"/>
      <c r="K202" s="57"/>
      <c r="L202" s="54"/>
      <c r="M202" s="54"/>
      <c r="N202" s="54"/>
      <c r="O202" s="54"/>
    </row>
    <row r="203" spans="2:15" x14ac:dyDescent="0.25">
      <c r="B203" s="73"/>
    </row>
    <row r="204" spans="2:15" x14ac:dyDescent="0.25">
      <c r="B204" s="73" t="s">
        <v>335</v>
      </c>
    </row>
    <row r="205" spans="2:15" x14ac:dyDescent="0.25">
      <c r="F205" s="47"/>
      <c r="G205" s="61"/>
      <c r="I205" s="47"/>
      <c r="J205" s="50"/>
      <c r="M205" s="47"/>
      <c r="N205" s="50"/>
    </row>
    <row r="206" spans="2:15" x14ac:dyDescent="0.25">
      <c r="B206" s="15" t="s">
        <v>3</v>
      </c>
      <c r="C206" s="47" t="s">
        <v>10</v>
      </c>
      <c r="D206" s="61">
        <v>1500</v>
      </c>
      <c r="F206" s="47"/>
      <c r="G206" s="77"/>
      <c r="I206" s="47"/>
      <c r="J206" s="77"/>
      <c r="M206" s="47"/>
      <c r="N206" s="77"/>
    </row>
    <row r="207" spans="2:15" x14ac:dyDescent="0.25">
      <c r="B207" s="15" t="s">
        <v>336</v>
      </c>
      <c r="C207" s="47" t="s">
        <v>6</v>
      </c>
      <c r="D207" s="61">
        <v>50</v>
      </c>
      <c r="F207" s="47"/>
      <c r="G207" s="77"/>
      <c r="I207" s="47"/>
      <c r="J207" s="77"/>
      <c r="M207" s="47"/>
      <c r="N207" s="77"/>
    </row>
    <row r="208" spans="2:15" x14ac:dyDescent="0.25">
      <c r="B208" s="15" t="s">
        <v>337</v>
      </c>
      <c r="C208" s="157" t="s">
        <v>338</v>
      </c>
      <c r="D208" s="77">
        <v>0.8</v>
      </c>
      <c r="F208" s="47"/>
      <c r="G208" s="77"/>
      <c r="I208" s="47"/>
      <c r="J208" s="77"/>
      <c r="M208" s="47"/>
      <c r="N208" s="77"/>
    </row>
    <row r="209" spans="2:20" x14ac:dyDescent="0.25">
      <c r="B209" s="15" t="s">
        <v>339</v>
      </c>
      <c r="C209" s="157" t="s">
        <v>338</v>
      </c>
      <c r="D209" s="77">
        <v>0.65</v>
      </c>
      <c r="F209" s="75"/>
      <c r="G209" s="50"/>
      <c r="H209" s="26"/>
      <c r="I209" s="75"/>
      <c r="J209" s="50"/>
      <c r="K209" s="26"/>
      <c r="L209" s="26"/>
      <c r="M209" s="75"/>
      <c r="N209" s="50"/>
      <c r="O209" s="26"/>
    </row>
    <row r="210" spans="2:20" x14ac:dyDescent="0.25">
      <c r="B210" s="15" t="s">
        <v>340</v>
      </c>
      <c r="C210" s="47" t="s">
        <v>30</v>
      </c>
      <c r="D210" s="50">
        <f>(D206/3600*D207)/(D208*D209)</f>
        <v>40.064102564102569</v>
      </c>
      <c r="L210" s="26"/>
      <c r="M210" s="75"/>
      <c r="N210" s="43"/>
      <c r="O210" s="26"/>
    </row>
    <row r="211" spans="2:20" s="58" customFormat="1" x14ac:dyDescent="0.25">
      <c r="B211" s="54"/>
      <c r="C211" s="55"/>
      <c r="D211" s="56"/>
      <c r="E211" s="54"/>
      <c r="F211" s="54"/>
      <c r="G211" s="54"/>
      <c r="H211" s="54"/>
      <c r="I211" s="54"/>
      <c r="J211" s="55"/>
      <c r="K211" s="57"/>
      <c r="L211" s="54"/>
      <c r="M211" s="54"/>
      <c r="N211" s="54"/>
      <c r="O211" s="54"/>
    </row>
    <row r="212" spans="2:20" x14ac:dyDescent="0.25">
      <c r="B212" s="73"/>
    </row>
    <row r="213" spans="2:20" x14ac:dyDescent="0.25">
      <c r="B213" s="73" t="s">
        <v>252</v>
      </c>
    </row>
    <row r="215" spans="2:20" x14ac:dyDescent="0.25">
      <c r="B215" s="15" t="s">
        <v>33</v>
      </c>
      <c r="D215" s="77">
        <v>1</v>
      </c>
      <c r="E215" s="15" t="s">
        <v>29</v>
      </c>
      <c r="G215" s="69"/>
      <c r="H215" s="219" t="s">
        <v>48</v>
      </c>
      <c r="I215" s="220"/>
      <c r="J215" s="220"/>
      <c r="K215" s="221"/>
    </row>
    <row r="216" spans="2:20" x14ac:dyDescent="0.25">
      <c r="B216" s="15" t="s">
        <v>49</v>
      </c>
      <c r="D216" s="77">
        <v>0.5</v>
      </c>
      <c r="E216" s="15" t="s">
        <v>29</v>
      </c>
      <c r="G216" s="69" t="s">
        <v>50</v>
      </c>
      <c r="H216" s="79" t="s">
        <v>32</v>
      </c>
      <c r="I216" s="79" t="s">
        <v>34</v>
      </c>
      <c r="J216" s="79" t="s">
        <v>51</v>
      </c>
      <c r="K216" s="79" t="s">
        <v>52</v>
      </c>
      <c r="M216" s="46"/>
      <c r="N216" s="46"/>
      <c r="O216" s="46"/>
      <c r="P216" s="46"/>
      <c r="Q216" s="46"/>
      <c r="R216" s="46"/>
      <c r="S216" s="46"/>
      <c r="T216" s="46"/>
    </row>
    <row r="217" spans="2:20" x14ac:dyDescent="0.25">
      <c r="B217" s="15" t="s">
        <v>31</v>
      </c>
      <c r="D217" s="77">
        <v>10</v>
      </c>
      <c r="E217" s="15" t="s">
        <v>29</v>
      </c>
      <c r="G217" s="69" t="s">
        <v>253</v>
      </c>
      <c r="H217" s="80">
        <f>0.097*$D$218^0.65</f>
        <v>3.9527609445461147</v>
      </c>
      <c r="I217" s="80">
        <f>0.032*$D$218^0.65</f>
        <v>1.3040036105719142</v>
      </c>
      <c r="J217" s="80">
        <f>0.011*$D$218^0.65</f>
        <v>0.44825124113409548</v>
      </c>
      <c r="K217" s="80">
        <f>0.004*$D$218^0.65</f>
        <v>0.16300045132148927</v>
      </c>
      <c r="M217" s="46"/>
      <c r="N217" s="46"/>
      <c r="O217" s="46"/>
      <c r="P217" s="46"/>
      <c r="Q217" s="46"/>
      <c r="R217" s="46"/>
      <c r="S217" s="46"/>
      <c r="T217" s="46"/>
    </row>
    <row r="218" spans="2:20" x14ac:dyDescent="0.25">
      <c r="B218" s="15" t="s">
        <v>53</v>
      </c>
      <c r="D218" s="81">
        <v>300</v>
      </c>
      <c r="E218" s="15" t="s">
        <v>6</v>
      </c>
      <c r="G218" s="69" t="s">
        <v>315</v>
      </c>
      <c r="H218" s="82">
        <f>$D$219*H217</f>
        <v>118.58282833638344</v>
      </c>
      <c r="I218" s="82">
        <f>$D$219*I217</f>
        <v>39.120108317157424</v>
      </c>
      <c r="J218" s="82">
        <f>$D$219*J217</f>
        <v>13.447537234022864</v>
      </c>
      <c r="K218" s="82">
        <f>$D$219*K217</f>
        <v>4.890013539644678</v>
      </c>
      <c r="M218" s="46"/>
      <c r="N218" s="46"/>
      <c r="O218" s="46"/>
      <c r="P218" s="46"/>
      <c r="Q218" s="46"/>
      <c r="R218" s="46"/>
      <c r="S218" s="46"/>
      <c r="T218" s="46"/>
    </row>
    <row r="219" spans="2:20" x14ac:dyDescent="0.25">
      <c r="B219" s="15" t="s">
        <v>54</v>
      </c>
      <c r="D219" s="37">
        <f>((D215*2)+(D216*2))*D217</f>
        <v>30</v>
      </c>
      <c r="E219" s="15" t="s">
        <v>55</v>
      </c>
    </row>
    <row r="220" spans="2:20" s="58" customFormat="1" x14ac:dyDescent="0.25">
      <c r="B220" s="54"/>
      <c r="C220" s="55"/>
      <c r="D220" s="56"/>
      <c r="E220" s="54"/>
      <c r="F220" s="54"/>
      <c r="G220" s="54"/>
      <c r="H220" s="54"/>
      <c r="I220" s="54"/>
      <c r="J220" s="55"/>
      <c r="K220" s="57"/>
      <c r="L220" s="54"/>
      <c r="M220" s="54"/>
      <c r="N220" s="54"/>
      <c r="O220" s="54"/>
    </row>
    <row r="221" spans="2:20" x14ac:dyDescent="0.25">
      <c r="B221" s="73"/>
    </row>
    <row r="222" spans="2:20" x14ac:dyDescent="0.25">
      <c r="B222" s="73" t="s">
        <v>292</v>
      </c>
    </row>
    <row r="224" spans="2:20" x14ac:dyDescent="0.25">
      <c r="B224" s="15" t="s">
        <v>297</v>
      </c>
      <c r="D224" s="61">
        <v>1000</v>
      </c>
      <c r="E224" s="15" t="s">
        <v>294</v>
      </c>
    </row>
    <row r="225" spans="2:20" x14ac:dyDescent="0.25">
      <c r="D225" s="77"/>
      <c r="F225" s="222" t="s">
        <v>293</v>
      </c>
      <c r="G225" s="222"/>
      <c r="H225" s="79" t="s">
        <v>32</v>
      </c>
      <c r="I225" s="79" t="s">
        <v>34</v>
      </c>
      <c r="J225" s="79" t="s">
        <v>51</v>
      </c>
      <c r="K225" s="79" t="s">
        <v>52</v>
      </c>
      <c r="M225" s="46"/>
      <c r="N225" s="46"/>
      <c r="O225" s="46"/>
      <c r="P225" s="46"/>
      <c r="Q225" s="46"/>
      <c r="R225" s="46"/>
      <c r="S225" s="46"/>
      <c r="T225" s="46"/>
    </row>
    <row r="226" spans="2:20" x14ac:dyDescent="0.25">
      <c r="D226" s="77"/>
      <c r="F226" s="222" t="s">
        <v>295</v>
      </c>
      <c r="G226" s="222"/>
      <c r="H226" s="83">
        <f>1.6*$D$224^0.4</f>
        <v>25.358291079377821</v>
      </c>
      <c r="I226" s="83">
        <f>2.23*$D$224^0.45</f>
        <v>49.923481390073974</v>
      </c>
      <c r="J226" s="83">
        <f>3.16*$D$224^0.5</f>
        <v>99.927974061320782</v>
      </c>
      <c r="K226" s="83">
        <f>$D$224</f>
        <v>1000</v>
      </c>
      <c r="M226" s="46"/>
      <c r="N226" s="46"/>
      <c r="O226" s="46"/>
      <c r="P226" s="46"/>
      <c r="Q226" s="46"/>
      <c r="R226" s="46"/>
      <c r="S226" s="46"/>
      <c r="T226" s="46"/>
    </row>
    <row r="227" spans="2:20" x14ac:dyDescent="0.25">
      <c r="F227" s="222" t="s">
        <v>296</v>
      </c>
      <c r="G227" s="222"/>
      <c r="H227" s="84">
        <f>H226*100/D224</f>
        <v>2.5358291079377824</v>
      </c>
      <c r="I227" s="84">
        <f>I226*100/D224</f>
        <v>4.9923481390073974</v>
      </c>
      <c r="J227" s="84">
        <f>J226*100/D224</f>
        <v>9.9927974061320786</v>
      </c>
      <c r="K227" s="85">
        <f>K226*100/D224</f>
        <v>100</v>
      </c>
      <c r="L227" s="46"/>
      <c r="M227" s="46"/>
      <c r="N227" s="46"/>
      <c r="O227" s="46"/>
      <c r="P227" s="46"/>
      <c r="Q227" s="46"/>
      <c r="R227" s="46"/>
      <c r="S227" s="46"/>
      <c r="T227" s="46"/>
    </row>
    <row r="228" spans="2:20" x14ac:dyDescent="0.25">
      <c r="D228" s="37"/>
    </row>
    <row r="229" spans="2:20" s="58" customFormat="1" x14ac:dyDescent="0.25">
      <c r="B229" s="54"/>
      <c r="C229" s="55"/>
      <c r="D229" s="56"/>
      <c r="E229" s="54"/>
      <c r="F229" s="54"/>
      <c r="G229" s="54"/>
      <c r="H229" s="54"/>
      <c r="I229" s="54"/>
      <c r="J229" s="55"/>
      <c r="K229" s="57"/>
      <c r="L229" s="54"/>
      <c r="M229" s="54"/>
      <c r="N229" s="54"/>
      <c r="O229" s="54"/>
    </row>
    <row r="231" spans="2:20" x14ac:dyDescent="0.25">
      <c r="B231" s="29" t="s">
        <v>254</v>
      </c>
      <c r="C231" s="30"/>
      <c r="D231" s="31"/>
      <c r="E231" s="32"/>
    </row>
    <row r="232" spans="2:20" x14ac:dyDescent="0.25">
      <c r="B232" s="29"/>
      <c r="C232" s="30"/>
      <c r="D232" s="31"/>
      <c r="E232" s="32"/>
    </row>
    <row r="233" spans="2:20" x14ac:dyDescent="0.25">
      <c r="B233" s="33" t="s">
        <v>255</v>
      </c>
      <c r="D233" s="34"/>
      <c r="E233" s="35">
        <v>33.5</v>
      </c>
      <c r="F233" s="33" t="s">
        <v>14</v>
      </c>
    </row>
    <row r="234" spans="2:20" x14ac:dyDescent="0.25">
      <c r="B234" s="33" t="s">
        <v>256</v>
      </c>
      <c r="D234" s="34"/>
      <c r="E234" s="35">
        <v>23.5</v>
      </c>
      <c r="F234" s="33" t="s">
        <v>14</v>
      </c>
    </row>
    <row r="235" spans="2:20" x14ac:dyDescent="0.25">
      <c r="B235" s="33" t="s">
        <v>11</v>
      </c>
      <c r="D235" s="34"/>
      <c r="E235" s="35">
        <v>40</v>
      </c>
      <c r="F235" s="33" t="s">
        <v>1</v>
      </c>
    </row>
    <row r="236" spans="2:20" x14ac:dyDescent="0.25">
      <c r="B236" s="33" t="s">
        <v>257</v>
      </c>
      <c r="D236" s="34"/>
      <c r="E236" s="48">
        <f>E233</f>
        <v>33.5</v>
      </c>
      <c r="F236" s="86" t="s">
        <v>14</v>
      </c>
    </row>
    <row r="237" spans="2:20" x14ac:dyDescent="0.25">
      <c r="B237" s="32" t="s">
        <v>258</v>
      </c>
      <c r="D237" s="30"/>
      <c r="E237" s="48">
        <f>IF(E233&lt;=E234,E233*-1+E234,E233-E234)</f>
        <v>10</v>
      </c>
      <c r="F237" s="86" t="s">
        <v>14</v>
      </c>
    </row>
    <row r="238" spans="2:20" x14ac:dyDescent="0.25">
      <c r="B238" s="33" t="s">
        <v>259</v>
      </c>
      <c r="D238" s="38"/>
      <c r="E238" s="44">
        <f>3600*E235/(1.005*353/(273.15+(E236))*E237)</f>
        <v>12447.00012684453</v>
      </c>
      <c r="F238" s="40" t="s">
        <v>10</v>
      </c>
    </row>
    <row r="239" spans="2:20" x14ac:dyDescent="0.25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2:20" x14ac:dyDescent="0.25">
      <c r="B240" s="73"/>
    </row>
    <row r="241" spans="2:15" x14ac:dyDescent="0.25">
      <c r="B241" s="73" t="s">
        <v>260</v>
      </c>
    </row>
    <row r="242" spans="2:15" ht="47.25" x14ac:dyDescent="0.25">
      <c r="B242" s="87" t="s">
        <v>261</v>
      </c>
      <c r="C242" s="88" t="s">
        <v>262</v>
      </c>
      <c r="D242" s="89" t="s">
        <v>263</v>
      </c>
      <c r="E242" s="90" t="s">
        <v>264</v>
      </c>
      <c r="F242" s="91" t="s">
        <v>265</v>
      </c>
      <c r="G242" s="92" t="s">
        <v>266</v>
      </c>
      <c r="H242" s="90" t="s">
        <v>267</v>
      </c>
      <c r="I242" s="93" t="s">
        <v>316</v>
      </c>
      <c r="J242" s="93" t="s">
        <v>317</v>
      </c>
    </row>
    <row r="243" spans="2:15" x14ac:dyDescent="0.25">
      <c r="B243" s="95">
        <v>100</v>
      </c>
      <c r="C243" s="95">
        <v>140</v>
      </c>
      <c r="D243" s="96">
        <f>C243/3600/F243</f>
        <v>4.951487118414521</v>
      </c>
      <c r="E243" s="96">
        <f>(1.2*D243^2)/2</f>
        <v>14.710334810294963</v>
      </c>
      <c r="F243" s="123">
        <f>PI()*(B243/2000)*(B243/2000)</f>
        <v>7.8539816339744835E-3</v>
      </c>
      <c r="G243" s="95">
        <v>20</v>
      </c>
      <c r="H243" s="97">
        <f>(1.2*0.24*G243*C243)/860</f>
        <v>0.93767441860465117</v>
      </c>
      <c r="I243" s="122">
        <f>IF(D243&gt;0,7+50*LOG10(D243)+10*LOG10(F243),"")</f>
        <v>20.68768149090068</v>
      </c>
      <c r="J243" s="122">
        <f>IF(D243&gt;0,-25+70*LOG10(D243)+10*LOG10(F243),"")</f>
        <v>2.5823945617962636</v>
      </c>
      <c r="K243" s="99"/>
      <c r="L243" s="99"/>
      <c r="M243" s="99"/>
      <c r="N243" s="99"/>
    </row>
    <row r="244" spans="2:15" x14ac:dyDescent="0.25">
      <c r="B244" s="95">
        <v>200</v>
      </c>
      <c r="C244" s="95">
        <v>500</v>
      </c>
      <c r="D244" s="96">
        <f>C244/3600/F244</f>
        <v>4.4209706414415368</v>
      </c>
      <c r="E244" s="96">
        <f>(1.2*D244^2)/2</f>
        <v>11.726988847492795</v>
      </c>
      <c r="F244" s="96">
        <f>PI()*(B244/2000)*(B244/2000)</f>
        <v>3.1415926535897934E-2</v>
      </c>
      <c r="G244" s="95"/>
      <c r="H244" s="97">
        <f>(1.2*0.24*G244*C244)/860</f>
        <v>0</v>
      </c>
      <c r="I244" s="122">
        <f>IF(D244&gt;0,7+50*LOG10(D244)+10*LOG10(F244),"")</f>
        <v>24.247380270671222</v>
      </c>
      <c r="J244" s="122">
        <f t="shared" ref="J244:J245" si="8">IF(D244&gt;0,-25+70*LOG10(D244)+10*LOG10(F244),"")</f>
        <v>5.1577328881631797</v>
      </c>
      <c r="K244" s="99"/>
      <c r="L244" s="99"/>
      <c r="M244" s="99"/>
      <c r="N244" s="99"/>
    </row>
    <row r="245" spans="2:15" x14ac:dyDescent="0.25">
      <c r="B245" s="95">
        <v>500</v>
      </c>
      <c r="C245" s="95"/>
      <c r="D245" s="96">
        <f>C245/3600/F245</f>
        <v>0</v>
      </c>
      <c r="E245" s="96">
        <f>(1.2*D245^2)/2</f>
        <v>0</v>
      </c>
      <c r="F245" s="96">
        <f>PI()*(B245/2000)*(B245/2000)</f>
        <v>0.19634954084936207</v>
      </c>
      <c r="G245" s="95"/>
      <c r="H245" s="97">
        <f>(1.2*0.24*G245*C245)/860</f>
        <v>0</v>
      </c>
      <c r="I245" s="122" t="str">
        <f>IF(D245&gt;0,7+50*LOG10(D245)+10*LOG10(F245),"")</f>
        <v/>
      </c>
      <c r="J245" s="122" t="str">
        <f t="shared" si="8"/>
        <v/>
      </c>
      <c r="K245" s="99"/>
      <c r="L245" s="99"/>
      <c r="M245" s="99"/>
      <c r="N245" s="99"/>
    </row>
    <row r="246" spans="2:15" x14ac:dyDescent="0.25">
      <c r="C246" s="100"/>
      <c r="K246" s="99"/>
      <c r="L246" s="99"/>
      <c r="M246" s="99"/>
      <c r="N246" s="99"/>
    </row>
    <row r="247" spans="2:15" ht="31.5" x14ac:dyDescent="0.25">
      <c r="B247" s="87" t="s">
        <v>261</v>
      </c>
      <c r="C247" s="88" t="s">
        <v>263</v>
      </c>
      <c r="D247" s="90" t="s">
        <v>262</v>
      </c>
      <c r="E247" s="90" t="s">
        <v>264</v>
      </c>
      <c r="F247" s="92" t="s">
        <v>266</v>
      </c>
      <c r="G247" s="90" t="s">
        <v>267</v>
      </c>
      <c r="H247" s="91" t="s">
        <v>265</v>
      </c>
      <c r="I247" s="93" t="s">
        <v>316</v>
      </c>
      <c r="J247" s="93" t="s">
        <v>317</v>
      </c>
    </row>
    <row r="248" spans="2:15" x14ac:dyDescent="0.25">
      <c r="B248" s="95">
        <v>100</v>
      </c>
      <c r="C248" s="101">
        <v>5</v>
      </c>
      <c r="D248" s="98">
        <f>C248*H248*3600</f>
        <v>141.37166941154069</v>
      </c>
      <c r="E248" s="102">
        <f>(1.2*C248^2)/2</f>
        <v>15</v>
      </c>
      <c r="F248" s="95">
        <v>40</v>
      </c>
      <c r="G248" s="97">
        <f>(1.2*0.24*F248*D248)/860</f>
        <v>1.8937228274662194</v>
      </c>
      <c r="H248" s="103">
        <f>PI()*(B248/2000)*(B248/2000)</f>
        <v>7.8539816339744835E-3</v>
      </c>
      <c r="I248" s="122">
        <f>IF(C248&gt;0,7+50*LOG10(C248)+10*LOG10(H248),"")</f>
        <v>20.899399030462661</v>
      </c>
      <c r="J248" s="122">
        <f>IF(C248&gt;0,-25+70*LOG10(C248)+10*LOG10(H248),"")</f>
        <v>2.8787991171830356</v>
      </c>
      <c r="K248" s="99"/>
      <c r="L248" s="99"/>
      <c r="M248" s="99"/>
      <c r="N248" s="99"/>
    </row>
    <row r="249" spans="2:15" x14ac:dyDescent="0.25">
      <c r="B249" s="95">
        <v>800</v>
      </c>
      <c r="C249" s="101"/>
      <c r="D249" s="98">
        <f>C249*H249*3600</f>
        <v>0</v>
      </c>
      <c r="E249" s="102">
        <f>(1.2*C249^2)/2</f>
        <v>0</v>
      </c>
      <c r="F249" s="95"/>
      <c r="G249" s="97">
        <f>(1.2*0.24*F249*D249)/860</f>
        <v>0</v>
      </c>
      <c r="H249" s="103">
        <f>PI()*(B249/2000)*(B249/2000)</f>
        <v>0.50265482457436694</v>
      </c>
      <c r="I249" s="122" t="str">
        <f t="shared" ref="I249:I250" si="9">IF(C249&gt;0,7+50*LOG10(C249)+10*LOG10(H249),"")</f>
        <v/>
      </c>
      <c r="J249" s="122" t="str">
        <f t="shared" ref="J249:J250" si="10">IF(C249&gt;0,-25+70*LOG10(C249)+10*LOG10(H249),"")</f>
        <v/>
      </c>
      <c r="K249" s="99"/>
      <c r="L249" s="99"/>
      <c r="M249" s="99"/>
      <c r="N249" s="99"/>
    </row>
    <row r="250" spans="2:15" x14ac:dyDescent="0.25">
      <c r="B250" s="95">
        <v>800</v>
      </c>
      <c r="C250" s="101"/>
      <c r="D250" s="98">
        <f>C250*H250*3600</f>
        <v>0</v>
      </c>
      <c r="E250" s="102">
        <f>(1.2*C250^2)/2</f>
        <v>0</v>
      </c>
      <c r="F250" s="95"/>
      <c r="G250" s="97">
        <f>(1.2*0.24*F250*D250)/860</f>
        <v>0</v>
      </c>
      <c r="H250" s="103">
        <f>PI()*(B250/2000)*(B250/2000)</f>
        <v>0.50265482457436694</v>
      </c>
      <c r="I250" s="122" t="str">
        <f t="shared" si="9"/>
        <v/>
      </c>
      <c r="J250" s="122" t="str">
        <f t="shared" si="10"/>
        <v/>
      </c>
      <c r="K250" s="99"/>
      <c r="L250" s="99"/>
      <c r="M250" s="99"/>
      <c r="N250" s="99"/>
    </row>
    <row r="251" spans="2:15" s="58" customFormat="1" x14ac:dyDescent="0.25">
      <c r="B251" s="54"/>
      <c r="C251" s="55"/>
      <c r="D251" s="56"/>
      <c r="E251" s="54"/>
      <c r="F251" s="54"/>
      <c r="G251" s="54"/>
      <c r="H251" s="54"/>
      <c r="I251" s="54"/>
      <c r="J251" s="55"/>
      <c r="K251" s="57"/>
      <c r="L251" s="54"/>
      <c r="M251" s="54"/>
      <c r="N251" s="54"/>
      <c r="O251" s="54"/>
    </row>
    <row r="252" spans="2:15" x14ac:dyDescent="0.25">
      <c r="C252" s="100"/>
      <c r="N252" s="99"/>
    </row>
    <row r="253" spans="2:15" x14ac:dyDescent="0.25">
      <c r="B253" s="73" t="s">
        <v>268</v>
      </c>
      <c r="C253" s="100"/>
    </row>
    <row r="254" spans="2:15" ht="47.25" x14ac:dyDescent="0.25">
      <c r="B254" s="87" t="s">
        <v>269</v>
      </c>
      <c r="C254" s="88" t="s">
        <v>270</v>
      </c>
      <c r="D254" s="104" t="s">
        <v>262</v>
      </c>
      <c r="E254" s="89" t="s">
        <v>263</v>
      </c>
      <c r="F254" s="94" t="s">
        <v>271</v>
      </c>
      <c r="G254" s="92" t="s">
        <v>266</v>
      </c>
      <c r="H254" s="90" t="s">
        <v>267</v>
      </c>
      <c r="I254" s="93" t="s">
        <v>272</v>
      </c>
      <c r="J254" s="105" t="s">
        <v>265</v>
      </c>
      <c r="K254" s="93" t="s">
        <v>273</v>
      </c>
      <c r="L254" s="93" t="s">
        <v>316</v>
      </c>
      <c r="M254" s="93" t="s">
        <v>317</v>
      </c>
    </row>
    <row r="255" spans="2:15" x14ac:dyDescent="0.25">
      <c r="B255" s="95">
        <v>100</v>
      </c>
      <c r="C255" s="95">
        <v>100</v>
      </c>
      <c r="D255" s="95">
        <v>180</v>
      </c>
      <c r="E255" s="97">
        <f>D255/3600/J255</f>
        <v>5</v>
      </c>
      <c r="F255" s="106">
        <f>(1.2*E255^2)/2</f>
        <v>15</v>
      </c>
      <c r="G255" s="95"/>
      <c r="H255" s="97">
        <f>(1.2*0.24*G255*D255)/860</f>
        <v>0</v>
      </c>
      <c r="I255" s="102">
        <f>2*B255*C255/(B255+C255)</f>
        <v>100</v>
      </c>
      <c r="J255" s="103">
        <f>C255*B255/1000000</f>
        <v>0.01</v>
      </c>
      <c r="K255" s="103">
        <f>PI()*(I255/2000)*(I255/2000)</f>
        <v>7.8539816339744835E-3</v>
      </c>
      <c r="L255" s="122">
        <f>IF(E255&gt;0,7+50*LOG10(E255)+10*LOG10(K255),"")</f>
        <v>20.899399030462661</v>
      </c>
      <c r="M255" s="122">
        <f>IF(E255&gt;0,-25+70*LOG10(E255)+10*LOG10(K255),"")</f>
        <v>2.8787991171830356</v>
      </c>
    </row>
    <row r="256" spans="2:15" x14ac:dyDescent="0.25">
      <c r="B256" s="95">
        <v>1000</v>
      </c>
      <c r="C256" s="95">
        <v>200</v>
      </c>
      <c r="D256" s="95">
        <v>5000</v>
      </c>
      <c r="E256" s="97">
        <f>D256/3600/J256</f>
        <v>6.9444444444444438</v>
      </c>
      <c r="F256" s="106">
        <f>(1.2*E256^2)/2</f>
        <v>28.935185185185176</v>
      </c>
      <c r="G256" s="95"/>
      <c r="H256" s="97">
        <f>(1.2*0.24*G256*D256)/860</f>
        <v>0</v>
      </c>
      <c r="I256" s="102">
        <f>2*B256*C256/(B256+C256)</f>
        <v>333.33333333333331</v>
      </c>
      <c r="J256" s="103">
        <f>C256*B256/1000000</f>
        <v>0.2</v>
      </c>
      <c r="K256" s="103">
        <f>PI()*(I256/2000)*(I256/2000)</f>
        <v>8.726646259971646E-2</v>
      </c>
      <c r="L256" s="122">
        <f t="shared" ref="L256:L257" si="11">IF(E256&gt;0,7+50*LOG10(E256)+10*LOG10(K256),"")</f>
        <v>38.490349114505982</v>
      </c>
      <c r="M256" s="122">
        <f t="shared" ref="M256:M257" si="12">IF(E256&gt;0,-25+70*LOG10(E256)+10*LOG10(K256),"")</f>
        <v>23.323099272600984</v>
      </c>
    </row>
    <row r="257" spans="2:17" x14ac:dyDescent="0.25">
      <c r="B257" s="95">
        <v>200</v>
      </c>
      <c r="C257" s="95">
        <v>1</v>
      </c>
      <c r="D257" s="95"/>
      <c r="E257" s="97">
        <f>D257/3600/J257</f>
        <v>0</v>
      </c>
      <c r="F257" s="106">
        <f>(1.2*E257^2)/2</f>
        <v>0</v>
      </c>
      <c r="G257" s="95"/>
      <c r="H257" s="97">
        <f>(1.2*0.24*G257*D257)/860</f>
        <v>0</v>
      </c>
      <c r="I257" s="102">
        <f>2*B257*C257/(B257+C257)</f>
        <v>1.9900497512437811</v>
      </c>
      <c r="J257" s="103">
        <f>C257*B257/1000000</f>
        <v>2.0000000000000001E-4</v>
      </c>
      <c r="K257" s="103">
        <f>PI()*(I257/2000)*(I257/2000)</f>
        <v>3.1104107854655009E-6</v>
      </c>
      <c r="L257" s="122" t="str">
        <f t="shared" si="11"/>
        <v/>
      </c>
      <c r="M257" s="122" t="str">
        <f t="shared" si="12"/>
        <v/>
      </c>
    </row>
    <row r="258" spans="2:17" x14ac:dyDescent="0.25">
      <c r="C258" s="100"/>
      <c r="G258" s="107"/>
    </row>
    <row r="259" spans="2:17" ht="47.25" x14ac:dyDescent="0.25">
      <c r="B259" s="87" t="s">
        <v>269</v>
      </c>
      <c r="C259" s="88" t="s">
        <v>270</v>
      </c>
      <c r="D259" s="92" t="s">
        <v>263</v>
      </c>
      <c r="E259" s="90" t="s">
        <v>262</v>
      </c>
      <c r="F259" s="94" t="s">
        <v>274</v>
      </c>
      <c r="G259" s="92" t="s">
        <v>266</v>
      </c>
      <c r="H259" s="90" t="s">
        <v>267</v>
      </c>
      <c r="I259" s="93" t="s">
        <v>272</v>
      </c>
      <c r="J259" s="91" t="s">
        <v>265</v>
      </c>
      <c r="K259" s="93" t="s">
        <v>273</v>
      </c>
      <c r="L259" s="93" t="s">
        <v>316</v>
      </c>
      <c r="M259" s="93" t="s">
        <v>317</v>
      </c>
    </row>
    <row r="260" spans="2:17" x14ac:dyDescent="0.25">
      <c r="B260" s="101">
        <v>100</v>
      </c>
      <c r="C260" s="101">
        <v>100</v>
      </c>
      <c r="D260" s="108">
        <v>5</v>
      </c>
      <c r="E260" s="102">
        <f>D260*J260*3600</f>
        <v>180</v>
      </c>
      <c r="F260" s="98">
        <f>(1.2*D260^2)/2</f>
        <v>15</v>
      </c>
      <c r="G260" s="108"/>
      <c r="H260" s="97">
        <f>(1.2*0.24*G260*E260)/860</f>
        <v>0</v>
      </c>
      <c r="I260" s="102">
        <f>2*B260*C260/(B260+C260)</f>
        <v>100</v>
      </c>
      <c r="J260" s="103">
        <f>C260*B260/1000000</f>
        <v>0.01</v>
      </c>
      <c r="K260" s="103">
        <f>PI()*(I260/2000)*(I260/2000)</f>
        <v>7.8539816339744835E-3</v>
      </c>
      <c r="L260" s="122">
        <f>IF(D260&gt;0,7+50*LOG10(D260)+10*LOG10(K260),"")</f>
        <v>20.899399030462661</v>
      </c>
      <c r="M260" s="122">
        <f>IF(D260&gt;0,-25+70*LOG10(D260)+10*LOG10(K260),"")</f>
        <v>2.8787991171830356</v>
      </c>
    </row>
    <row r="261" spans="2:17" x14ac:dyDescent="0.25">
      <c r="B261" s="101">
        <v>150</v>
      </c>
      <c r="C261" s="101"/>
      <c r="D261" s="108"/>
      <c r="E261" s="102">
        <f>D261*J261*3600</f>
        <v>0</v>
      </c>
      <c r="F261" s="98">
        <f>(1.2*D261^2)/2</f>
        <v>0</v>
      </c>
      <c r="G261" s="108"/>
      <c r="H261" s="97">
        <f>(1.2*0.24*G261*E261)/860</f>
        <v>0</v>
      </c>
      <c r="I261" s="102">
        <f>2*B261*C261/(B261+C261)</f>
        <v>0</v>
      </c>
      <c r="J261" s="103">
        <f>C261*B261/1000000</f>
        <v>0</v>
      </c>
      <c r="K261" s="103">
        <f>PI()*(I261/2000)*(I261/2000)</f>
        <v>0</v>
      </c>
      <c r="L261" s="122" t="str">
        <f t="shared" ref="L261:L262" si="13">IF(D261&gt;0,7+50*LOG10(D261)+10*LOG10(K261),"")</f>
        <v/>
      </c>
      <c r="M261" s="122" t="str">
        <f t="shared" ref="M261:M262" si="14">IF(D261&gt;0,-25+70*LOG10(D261)+10*LOG10(K261),"")</f>
        <v/>
      </c>
    </row>
    <row r="262" spans="2:17" x14ac:dyDescent="0.25">
      <c r="B262" s="101">
        <v>200</v>
      </c>
      <c r="C262" s="101"/>
      <c r="D262" s="108"/>
      <c r="E262" s="102">
        <f>D262*J262*3600</f>
        <v>0</v>
      </c>
      <c r="F262" s="98">
        <f>(1.2*D262^2)/2</f>
        <v>0</v>
      </c>
      <c r="G262" s="108"/>
      <c r="H262" s="97">
        <f>(1.2*0.24*G262*E262)/860</f>
        <v>0</v>
      </c>
      <c r="I262" s="102">
        <f>2*B262*C262/(B262+C262)</f>
        <v>0</v>
      </c>
      <c r="J262" s="103">
        <f>C262*B262/1000000</f>
        <v>0</v>
      </c>
      <c r="K262" s="103">
        <f>PI()*(I262/2000)*(I262/2000)</f>
        <v>0</v>
      </c>
      <c r="L262" s="122" t="str">
        <f t="shared" si="13"/>
        <v/>
      </c>
      <c r="M262" s="122" t="str">
        <f t="shared" si="14"/>
        <v/>
      </c>
    </row>
    <row r="263" spans="2:17" s="58" customFormat="1" x14ac:dyDescent="0.25">
      <c r="B263" s="54"/>
      <c r="C263" s="55"/>
      <c r="D263" s="56"/>
      <c r="E263" s="54"/>
      <c r="F263" s="54"/>
      <c r="G263" s="54"/>
      <c r="H263" s="54"/>
      <c r="I263" s="54"/>
      <c r="J263" s="55"/>
      <c r="K263" s="57"/>
      <c r="L263" s="54"/>
      <c r="M263" s="54"/>
      <c r="N263" s="54"/>
      <c r="O263" s="54"/>
    </row>
    <row r="265" spans="2:17" x14ac:dyDescent="0.25">
      <c r="B265" s="73" t="s">
        <v>275</v>
      </c>
    </row>
    <row r="266" spans="2:17" x14ac:dyDescent="0.25">
      <c r="B266" s="109" t="s">
        <v>276</v>
      </c>
      <c r="C266" s="109" t="s">
        <v>277</v>
      </c>
      <c r="D266" s="109" t="s">
        <v>266</v>
      </c>
      <c r="E266" s="110" t="s">
        <v>278</v>
      </c>
      <c r="F266" s="110" t="s">
        <v>279</v>
      </c>
      <c r="G266" s="111" t="s">
        <v>280</v>
      </c>
      <c r="H266" s="111" t="s">
        <v>281</v>
      </c>
      <c r="I266" s="111" t="s">
        <v>282</v>
      </c>
      <c r="J266" s="111" t="s">
        <v>283</v>
      </c>
      <c r="K266" s="111" t="s">
        <v>284</v>
      </c>
      <c r="L266" s="111" t="s">
        <v>285</v>
      </c>
      <c r="M266" s="112" t="s">
        <v>286</v>
      </c>
      <c r="N266" s="111" t="s">
        <v>287</v>
      </c>
      <c r="O266" s="111" t="s">
        <v>288</v>
      </c>
      <c r="P266" s="111" t="s">
        <v>289</v>
      </c>
      <c r="Q266" s="111" t="s">
        <v>290</v>
      </c>
    </row>
    <row r="267" spans="2:17" x14ac:dyDescent="0.25">
      <c r="B267" s="95">
        <v>6</v>
      </c>
      <c r="C267" s="95"/>
      <c r="D267" s="95">
        <v>20</v>
      </c>
      <c r="E267" s="96">
        <f>(C267*0.86)/D267</f>
        <v>0</v>
      </c>
      <c r="F267" s="96">
        <f>E267/3.6</f>
        <v>0</v>
      </c>
      <c r="G267" s="113">
        <f>F267/1000/H267</f>
        <v>0</v>
      </c>
      <c r="H267" s="114">
        <f>PI()*(B267/2000)*(B267/2000)</f>
        <v>2.8274333882308137E-5</v>
      </c>
      <c r="I267" s="115">
        <v>1</v>
      </c>
      <c r="J267" s="96">
        <f>36*F267/(I267)^0.5</f>
        <v>0</v>
      </c>
      <c r="K267" s="96">
        <f>J267*1.4</f>
        <v>0</v>
      </c>
      <c r="L267" s="96">
        <f>J267*0.8</f>
        <v>0</v>
      </c>
      <c r="M267" s="116">
        <v>0.25</v>
      </c>
      <c r="N267" s="96">
        <v>1</v>
      </c>
      <c r="O267" s="115">
        <f>I267*(J267/N267)^2</f>
        <v>0</v>
      </c>
      <c r="P267" s="115">
        <v>1</v>
      </c>
      <c r="Q267" s="96">
        <f>O267/P267</f>
        <v>0</v>
      </c>
    </row>
    <row r="268" spans="2:17" x14ac:dyDescent="0.25">
      <c r="B268" s="95">
        <v>8</v>
      </c>
      <c r="C268" s="95"/>
      <c r="D268" s="95">
        <v>20</v>
      </c>
      <c r="E268" s="96">
        <f>(C268*0.86)/D268</f>
        <v>0</v>
      </c>
      <c r="F268" s="96">
        <f>E268/3.6</f>
        <v>0</v>
      </c>
      <c r="G268" s="113">
        <f>F268/1000/H268</f>
        <v>0</v>
      </c>
      <c r="H268" s="114">
        <f>PI()*(B268/2000)*(B268/2000)</f>
        <v>5.0265482457436693E-5</v>
      </c>
      <c r="I268" s="115">
        <v>1</v>
      </c>
      <c r="J268" s="96">
        <f>36*F268/(I268)^0.5</f>
        <v>0</v>
      </c>
      <c r="K268" s="96">
        <f>J268*1.4</f>
        <v>0</v>
      </c>
      <c r="L268" s="96">
        <f>J268*0.8</f>
        <v>0</v>
      </c>
      <c r="M268" s="116">
        <v>0.4</v>
      </c>
      <c r="N268" s="96">
        <v>1</v>
      </c>
      <c r="O268" s="115">
        <f>I268*(J268/N268)^2</f>
        <v>0</v>
      </c>
      <c r="P268" s="115">
        <v>1</v>
      </c>
      <c r="Q268" s="96">
        <f>O268/P268</f>
        <v>0</v>
      </c>
    </row>
    <row r="269" spans="2:17" x14ac:dyDescent="0.25">
      <c r="B269" s="95">
        <v>54</v>
      </c>
      <c r="C269" s="95"/>
      <c r="D269" s="95">
        <v>20</v>
      </c>
      <c r="E269" s="96">
        <f>(C269*0.86)/D269</f>
        <v>0</v>
      </c>
      <c r="F269" s="96">
        <f>E269/3.6</f>
        <v>0</v>
      </c>
      <c r="G269" s="113">
        <f>E269/3600/H269</f>
        <v>0</v>
      </c>
      <c r="H269" s="114">
        <f>PI()*(B269/2000)*(B269/2000)</f>
        <v>2.290221044466959E-3</v>
      </c>
      <c r="I269" s="115">
        <v>1</v>
      </c>
      <c r="J269" s="96">
        <f>36*F269/(I269)^0.5</f>
        <v>0</v>
      </c>
      <c r="K269" s="96">
        <f>J269*1.4</f>
        <v>0</v>
      </c>
      <c r="L269" s="96">
        <f>J269*0.8</f>
        <v>0</v>
      </c>
      <c r="M269" s="116">
        <v>0.65</v>
      </c>
      <c r="N269" s="96">
        <v>1</v>
      </c>
      <c r="O269" s="115">
        <f>I269*(J269/N269)^2</f>
        <v>0</v>
      </c>
      <c r="P269" s="115">
        <v>1</v>
      </c>
      <c r="Q269" s="96">
        <f>O269/P269</f>
        <v>0</v>
      </c>
    </row>
    <row r="270" spans="2:17" x14ac:dyDescent="0.25">
      <c r="M270" s="117">
        <v>1</v>
      </c>
    </row>
    <row r="271" spans="2:17" x14ac:dyDescent="0.25">
      <c r="B271" s="109" t="s">
        <v>276</v>
      </c>
      <c r="C271" s="112" t="s">
        <v>279</v>
      </c>
      <c r="D271" s="110" t="s">
        <v>278</v>
      </c>
      <c r="E271" s="109" t="s">
        <v>266</v>
      </c>
      <c r="F271" s="111" t="s">
        <v>280</v>
      </c>
      <c r="G271" s="111" t="s">
        <v>277</v>
      </c>
      <c r="H271" s="111" t="s">
        <v>281</v>
      </c>
      <c r="I271" s="111" t="s">
        <v>282</v>
      </c>
      <c r="J271" s="111" t="s">
        <v>283</v>
      </c>
      <c r="K271" s="111" t="s">
        <v>284</v>
      </c>
      <c r="L271" s="111" t="s">
        <v>285</v>
      </c>
      <c r="M271" s="116">
        <v>1.6</v>
      </c>
      <c r="N271" s="111" t="s">
        <v>287</v>
      </c>
      <c r="O271" s="111" t="s">
        <v>288</v>
      </c>
      <c r="P271" s="111" t="s">
        <v>289</v>
      </c>
      <c r="Q271" s="111" t="s">
        <v>290</v>
      </c>
    </row>
    <row r="272" spans="2:17" x14ac:dyDescent="0.25">
      <c r="B272" s="95">
        <v>6</v>
      </c>
      <c r="C272" s="118">
        <v>1</v>
      </c>
      <c r="D272" s="96">
        <f>C272*3.6</f>
        <v>3.6</v>
      </c>
      <c r="E272" s="95">
        <v>10</v>
      </c>
      <c r="F272" s="113">
        <f>C272/1000/H272</f>
        <v>35.367765131532302</v>
      </c>
      <c r="G272" s="96">
        <f>D272*E272/0.86</f>
        <v>41.860465116279073</v>
      </c>
      <c r="H272" s="114">
        <f>PI()*(B272/2000)*(B272/2000)</f>
        <v>2.8274333882308137E-5</v>
      </c>
      <c r="I272" s="115">
        <v>1</v>
      </c>
      <c r="J272" s="96">
        <f>36*C272/(I272)^0.5</f>
        <v>36</v>
      </c>
      <c r="K272" s="96">
        <f>J272*1.4</f>
        <v>50.4</v>
      </c>
      <c r="L272" s="96">
        <f>J272*0.8</f>
        <v>28.8</v>
      </c>
      <c r="M272" s="116">
        <v>2.5</v>
      </c>
      <c r="N272" s="96">
        <v>1</v>
      </c>
      <c r="O272" s="115">
        <f>I272*(J272/N272)^2</f>
        <v>1296</v>
      </c>
      <c r="P272" s="115">
        <v>1</v>
      </c>
      <c r="Q272" s="96">
        <f>O272/P272</f>
        <v>1296</v>
      </c>
    </row>
    <row r="273" spans="2:17" x14ac:dyDescent="0.25">
      <c r="B273" s="95">
        <v>8</v>
      </c>
      <c r="C273" s="119"/>
      <c r="D273" s="96">
        <f>C273*3.6</f>
        <v>0</v>
      </c>
      <c r="E273" s="95"/>
      <c r="F273" s="113">
        <f>C273/1000/H273</f>
        <v>0</v>
      </c>
      <c r="G273" s="96">
        <f>D273*E273/0.86</f>
        <v>0</v>
      </c>
      <c r="H273" s="114">
        <f>PI()*(B273/2000)*(B273/2000)</f>
        <v>5.0265482457436693E-5</v>
      </c>
      <c r="I273" s="115">
        <v>1</v>
      </c>
      <c r="J273" s="96">
        <f>36*C273/(I273)^0.5</f>
        <v>0</v>
      </c>
      <c r="K273" s="96">
        <f>J273*1.4</f>
        <v>0</v>
      </c>
      <c r="L273" s="96">
        <f>J273*0.8</f>
        <v>0</v>
      </c>
      <c r="M273" s="116">
        <v>4</v>
      </c>
      <c r="N273" s="96">
        <v>1</v>
      </c>
      <c r="O273" s="115">
        <f>I273*(J273/N273)^2</f>
        <v>0</v>
      </c>
      <c r="P273" s="115">
        <v>1</v>
      </c>
      <c r="Q273" s="96">
        <f>O273/P273</f>
        <v>0</v>
      </c>
    </row>
    <row r="274" spans="2:17" x14ac:dyDescent="0.25">
      <c r="B274" s="95">
        <v>10</v>
      </c>
      <c r="C274" s="119"/>
      <c r="D274" s="96">
        <f>C274*3.6</f>
        <v>0</v>
      </c>
      <c r="E274" s="95"/>
      <c r="F274" s="113">
        <f>C274/1000/H274</f>
        <v>0</v>
      </c>
      <c r="G274" s="96">
        <f>D274*E274/0.86</f>
        <v>0</v>
      </c>
      <c r="H274" s="114">
        <f>PI()*(B274/2000)*(B274/2000)</f>
        <v>7.8539816339744841E-5</v>
      </c>
      <c r="I274" s="115">
        <v>1</v>
      </c>
      <c r="J274" s="96">
        <f>36*C274/(I274)^0.5</f>
        <v>0</v>
      </c>
      <c r="K274" s="96">
        <f>J274*1.4</f>
        <v>0</v>
      </c>
      <c r="L274" s="96">
        <f>J274*0.8</f>
        <v>0</v>
      </c>
      <c r="M274" s="116">
        <v>6.3</v>
      </c>
      <c r="N274" s="96">
        <v>1</v>
      </c>
      <c r="O274" s="115">
        <f>I274*(J274/N274)^2</f>
        <v>0</v>
      </c>
      <c r="P274" s="115">
        <v>1</v>
      </c>
      <c r="Q274" s="96">
        <f>O274/P274</f>
        <v>0</v>
      </c>
    </row>
    <row r="275" spans="2:17" x14ac:dyDescent="0.25">
      <c r="F275" s="26"/>
      <c r="G275" s="26"/>
      <c r="H275" s="26"/>
      <c r="I275" s="26"/>
      <c r="J275" s="26"/>
      <c r="K275" s="26"/>
      <c r="L275" s="26"/>
      <c r="M275" s="117">
        <v>10</v>
      </c>
      <c r="N275" s="26"/>
      <c r="O275" s="26"/>
      <c r="P275" s="26"/>
      <c r="Q275" s="26"/>
    </row>
    <row r="276" spans="2:17" x14ac:dyDescent="0.25">
      <c r="B276" s="109" t="s">
        <v>276</v>
      </c>
      <c r="C276" s="109" t="s">
        <v>280</v>
      </c>
      <c r="D276" s="109" t="s">
        <v>266</v>
      </c>
      <c r="E276" s="111" t="s">
        <v>277</v>
      </c>
      <c r="F276" s="110" t="s">
        <v>279</v>
      </c>
      <c r="G276" s="110" t="s">
        <v>278</v>
      </c>
      <c r="H276" s="111" t="s">
        <v>281</v>
      </c>
      <c r="I276" s="111" t="s">
        <v>282</v>
      </c>
      <c r="J276" s="111" t="s">
        <v>283</v>
      </c>
      <c r="K276" s="111" t="s">
        <v>284</v>
      </c>
      <c r="L276" s="111" t="s">
        <v>285</v>
      </c>
      <c r="M276" s="116">
        <v>16</v>
      </c>
      <c r="N276" s="111" t="s">
        <v>287</v>
      </c>
      <c r="O276" s="111" t="s">
        <v>288</v>
      </c>
      <c r="P276" s="111" t="s">
        <v>289</v>
      </c>
      <c r="Q276" s="111" t="s">
        <v>290</v>
      </c>
    </row>
    <row r="277" spans="2:17" x14ac:dyDescent="0.25">
      <c r="B277" s="95">
        <v>6</v>
      </c>
      <c r="C277" s="120"/>
      <c r="D277" s="95"/>
      <c r="E277" s="96">
        <f>G277*D277/0.86</f>
        <v>0</v>
      </c>
      <c r="F277" s="96">
        <f>G277/3.6</f>
        <v>0</v>
      </c>
      <c r="G277" s="96">
        <f>C277*H277*3600</f>
        <v>0</v>
      </c>
      <c r="H277" s="114">
        <f>PI()*(B277/2000)*(B277/2000)</f>
        <v>2.8274333882308137E-5</v>
      </c>
      <c r="I277" s="115">
        <v>1</v>
      </c>
      <c r="J277" s="96">
        <f>36*F277/(I277)^0.5</f>
        <v>0</v>
      </c>
      <c r="K277" s="96">
        <f>J277*1.4</f>
        <v>0</v>
      </c>
      <c r="L277" s="96">
        <f>J277*0.8</f>
        <v>0</v>
      </c>
      <c r="M277" s="116">
        <v>25</v>
      </c>
      <c r="N277" s="96">
        <v>1</v>
      </c>
      <c r="O277" s="115">
        <f>I277*(J277/N277)^2</f>
        <v>0</v>
      </c>
      <c r="P277" s="115">
        <v>1</v>
      </c>
      <c r="Q277" s="96">
        <f>O277/P277</f>
        <v>0</v>
      </c>
    </row>
    <row r="278" spans="2:17" x14ac:dyDescent="0.25">
      <c r="B278" s="95">
        <v>8</v>
      </c>
      <c r="C278" s="120"/>
      <c r="D278" s="95"/>
      <c r="E278" s="96">
        <f>G278*D278/0.86</f>
        <v>0</v>
      </c>
      <c r="F278" s="96">
        <f>G278/3.6</f>
        <v>0</v>
      </c>
      <c r="G278" s="96">
        <f>C278*H278*3600</f>
        <v>0</v>
      </c>
      <c r="H278" s="114">
        <f>PI()*(B278/2000)*(B278/2000)</f>
        <v>5.0265482457436693E-5</v>
      </c>
      <c r="I278" s="115">
        <v>1</v>
      </c>
      <c r="J278" s="96">
        <f>36*F278/(I278)^0.5</f>
        <v>0</v>
      </c>
      <c r="K278" s="96">
        <f>J278*1.4</f>
        <v>0</v>
      </c>
      <c r="L278" s="96">
        <f>J278*0.8</f>
        <v>0</v>
      </c>
      <c r="M278" s="116">
        <v>40</v>
      </c>
      <c r="N278" s="96">
        <v>1</v>
      </c>
      <c r="O278" s="115">
        <f>I278*(J278/N278)^2</f>
        <v>0</v>
      </c>
      <c r="P278" s="115">
        <v>1</v>
      </c>
      <c r="Q278" s="96">
        <f>O278/P278</f>
        <v>0</v>
      </c>
    </row>
    <row r="279" spans="2:17" x14ac:dyDescent="0.25">
      <c r="B279" s="95">
        <v>10</v>
      </c>
      <c r="C279" s="120"/>
      <c r="D279" s="95"/>
      <c r="E279" s="96">
        <f>G279*D279/0.86</f>
        <v>0</v>
      </c>
      <c r="F279" s="96">
        <f>G279/3.6</f>
        <v>0</v>
      </c>
      <c r="G279" s="96">
        <f>C279*H279*3600</f>
        <v>0</v>
      </c>
      <c r="H279" s="114">
        <f>PI()*(B279/2000)*(B279/2000)</f>
        <v>7.8539816339744841E-5</v>
      </c>
      <c r="I279" s="115">
        <v>1</v>
      </c>
      <c r="J279" s="96">
        <f>36*F279/(I279)^0.5</f>
        <v>0</v>
      </c>
      <c r="K279" s="96">
        <f>J279*1.4</f>
        <v>0</v>
      </c>
      <c r="L279" s="96">
        <f>J279*0.8</f>
        <v>0</v>
      </c>
      <c r="M279" s="116">
        <v>63</v>
      </c>
      <c r="N279" s="96">
        <v>1</v>
      </c>
      <c r="O279" s="115">
        <f>I279*(J279/N279)^2</f>
        <v>0</v>
      </c>
      <c r="P279" s="115">
        <v>1</v>
      </c>
      <c r="Q279" s="96">
        <f>O279/P279</f>
        <v>0</v>
      </c>
    </row>
    <row r="280" spans="2:17" x14ac:dyDescent="0.25">
      <c r="M280" s="117">
        <v>100</v>
      </c>
    </row>
    <row r="281" spans="2:17" x14ac:dyDescent="0.25">
      <c r="B281" s="47"/>
      <c r="M281" s="117">
        <v>160</v>
      </c>
    </row>
    <row r="282" spans="2:17" x14ac:dyDescent="0.25">
      <c r="D282" s="121"/>
      <c r="M282" s="117">
        <v>250</v>
      </c>
    </row>
    <row r="283" spans="2:17" x14ac:dyDescent="0.25">
      <c r="B283" s="215"/>
      <c r="C283" s="215"/>
      <c r="D283" s="215"/>
      <c r="M283" s="117">
        <v>400</v>
      </c>
    </row>
    <row r="284" spans="2:17" x14ac:dyDescent="0.25">
      <c r="M284" s="117">
        <v>630</v>
      </c>
    </row>
    <row r="285" spans="2:17" x14ac:dyDescent="0.25">
      <c r="B285" s="47"/>
      <c r="C285" s="31"/>
      <c r="D285" s="31"/>
    </row>
  </sheetData>
  <mergeCells count="12">
    <mergeCell ref="B283:D283"/>
    <mergeCell ref="B4:C4"/>
    <mergeCell ref="E4:F4"/>
    <mergeCell ref="H4:K4"/>
    <mergeCell ref="M4:N4"/>
    <mergeCell ref="D124:E124"/>
    <mergeCell ref="D125:E125"/>
    <mergeCell ref="D126:E126"/>
    <mergeCell ref="H215:K215"/>
    <mergeCell ref="F225:G225"/>
    <mergeCell ref="F226:G226"/>
    <mergeCell ref="F227:G227"/>
  </mergeCells>
  <pageMargins left="0.7" right="0.7" top="0.75" bottom="0.75" header="0.3" footer="0.3"/>
  <pageSetup paperSize="9" scale="63" fitToHeight="0" orientation="landscape" verticalDpi="200" r:id="rId1"/>
  <rowBreaks count="3" manualBreakCount="3">
    <brk id="74" max="16383" man="1"/>
    <brk id="127" max="16383" man="1"/>
    <brk id="251" max="16383" man="1"/>
  </rowBreaks>
  <drawing r:id="rId2"/>
  <legacyDrawing r:id="rId3"/>
  <oleObjects>
    <mc:AlternateContent xmlns:mc="http://schemas.openxmlformats.org/markup-compatibility/2006">
      <mc:Choice Requires="x14">
        <oleObject progId="Equation.3" shapeId="35841" r:id="rId4">
          <objectPr defaultSize="0" autoPict="0" r:id="rId5">
            <anchor moveWithCells="1">
              <from>
                <xdr:col>15</xdr:col>
                <xdr:colOff>228600</xdr:colOff>
                <xdr:row>241</xdr:row>
                <xdr:rowOff>9525</xdr:rowOff>
              </from>
              <to>
                <xdr:col>18</xdr:col>
                <xdr:colOff>523875</xdr:colOff>
                <xdr:row>241</xdr:row>
                <xdr:rowOff>180975</xdr:rowOff>
              </to>
            </anchor>
          </objectPr>
        </oleObject>
      </mc:Choice>
      <mc:Fallback>
        <oleObject progId="Equation.3" shapeId="35841" r:id="rId4"/>
      </mc:Fallback>
    </mc:AlternateContent>
    <mc:AlternateContent xmlns:mc="http://schemas.openxmlformats.org/markup-compatibility/2006">
      <mc:Choice Requires="x14">
        <oleObject progId="Equation.3" shapeId="35842" r:id="rId6">
          <objectPr defaultSize="0" autoPict="0" r:id="rId7">
            <anchor moveWithCells="1">
              <from>
                <xdr:col>15</xdr:col>
                <xdr:colOff>219075</xdr:colOff>
                <xdr:row>241</xdr:row>
                <xdr:rowOff>295275</xdr:rowOff>
              </from>
              <to>
                <xdr:col>19</xdr:col>
                <xdr:colOff>295275</xdr:colOff>
                <xdr:row>241</xdr:row>
                <xdr:rowOff>485775</xdr:rowOff>
              </to>
            </anchor>
          </objectPr>
        </oleObject>
      </mc:Choice>
      <mc:Fallback>
        <oleObject progId="Equation.3" shapeId="35842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R 1 C D V 8 5 y O 4 C j A A A A 9 w A A A B I A H A B D b 2 5 m a W c v U G F j a 2 F n Z S 5 4 b W w g o h g A K K A U A A A A A A A A A A A A A A A A A A A A A A A A A A A A h U 8 7 D o I w A L 0 K 6 U 5 / O h h S y u A q i d F o X J t S o R G K 6 c d y N w e P 5 B X E K O r m 8 I b 3 S 9 6 7 X 2 + s G L o 2 u S j r d G 9 y Q C A G i T K y r 7 S p c x D 8 M V 2 A g r O 1 k C d R q 2 Q M G 5 c N T u e g 8 f 6 c I R R j h H E G e 1 s j i j F B h 3 K 1 l Y 3 q R K q N 8 8 J I B T 6 t 6 n 8 L c L Z / j e E U E j q C z C n E D E 0 q K 7 X 5 J u g 4 + O n + i G w Z W h + s 4 j a k m x 1 D E 2 X o f Y I / A F B L A w Q U A A I A C A B H U I N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1 C D V y i K R 7 g O A A A A E Q A A A B M A H A B G b 3 J t d W x h c y 9 T Z W N 0 a W 9 u M S 5 t I K I Y A C i g F A A A A A A A A A A A A A A A A A A A A A A A A A A A A C t O T S 7 J z M 9 T C I b Q h t Y A U E s B A i 0 A F A A C A A g A R 1 C D V 8 5 y O 4 C j A A A A 9 w A A A B I A A A A A A A A A A A A A A A A A A A A A A E N v b m Z p Z y 9 Q Y W N r Y W d l L n h t b F B L A Q I t A B Q A A g A I A E d Q g 1 c P y u m r p A A A A O k A A A A T A A A A A A A A A A A A A A A A A O 8 A A A B b Q 2 9 u d G V u d F 9 U e X B l c 1 0 u e G 1 s U E s B A i 0 A F A A C A A g A R 1 C D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R P q D O 3 t A F H g C y V 6 L T v y 8 Q A A A A A A g A A A A A A E G Y A A A A B A A A g A A A A P o a o p d 1 V B 3 u o T O e E N 5 7 w e J Q B 2 u J O J o A z r w r I N e 6 u C l 8 A A A A A D o A A A A A C A A A g A A A A l N 6 3 A 2 3 L T 9 C y 2 h N 5 y I 1 b E s q B d H y F F v / l n R Y C j s d E s q R Q A A A A m w 7 0 n R N u f 0 y T R i X y / j x C F E 5 h 2 0 W 3 F O i j C g 3 F k F r W E n V C M s R 9 f 4 d D L e i B c 9 S 4 e E K s Z Z H Y E i u c V s F 1 o 1 q / b l y G u C g 4 H 7 M l k a n v M w 2 K 4 6 + b p L R A A A A A 3 e f Z / o W k a U O 5 h 0 t b / M a D o S R 8 9 L 1 b e t 9 O 7 0 1 K r D o s W f W v g 9 H G X N X X s E J 7 f 4 G I D 3 X u z 2 c a s H O 0 2 / l m e d 5 V m S I a r w = = < / D a t a M a s h u p > 
</file>

<file path=customXml/itemProps1.xml><?xml version="1.0" encoding="utf-8"?>
<ds:datastoreItem xmlns:ds="http://schemas.openxmlformats.org/officeDocument/2006/customXml" ds:itemID="{A71952A2-FEE4-4D1F-8B93-2B6C36D27A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DN1</vt:lpstr>
      <vt:lpstr>DN4</vt:lpstr>
      <vt:lpstr>DN</vt:lpstr>
      <vt:lpstr>Neatbilstibas</vt:lpstr>
      <vt:lpstr>Paligformulas</vt:lpstr>
      <vt:lpstr>DN!Область_печати</vt:lpstr>
      <vt:lpstr>'DN1'!Область_печати</vt:lpstr>
      <vt:lpstr>'DN4'!Область_печати</vt:lpstr>
      <vt:lpstr>Neatbilstibas!Область_печати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2023-12-13T04:27:08Z</dcterms:modified>
</cp:coreProperties>
</file>